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3 ARBEIT, ERWERB\Arbeit und Erwerb - Strukturerhebung\2022\"/>
    </mc:Choice>
  </mc:AlternateContent>
  <workbookProtection lockStructure="1"/>
  <bookViews>
    <workbookView xWindow="-110" yWindow="0" windowWidth="14610" windowHeight="15590"/>
  </bookViews>
  <sheets>
    <sheet name="Schweiz" sheetId="1" r:id="rId1"/>
    <sheet name="Graubünden" sheetId="3" r:id="rId2"/>
    <sheet name="Uebersetzunge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A43" i="3"/>
  <c r="A32" i="3"/>
  <c r="A27" i="3"/>
  <c r="A22" i="3"/>
  <c r="A18" i="3"/>
  <c r="A15" i="3"/>
  <c r="A16" i="3"/>
  <c r="A53" i="3" l="1"/>
  <c r="A52" i="3"/>
  <c r="A50" i="3"/>
  <c r="A49" i="3"/>
  <c r="A48" i="3"/>
  <c r="A47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Y13" i="3"/>
  <c r="W13" i="3"/>
  <c r="U13" i="3"/>
  <c r="S13" i="3"/>
  <c r="Q13" i="3"/>
  <c r="O13" i="3"/>
  <c r="M13" i="3"/>
  <c r="K13" i="3"/>
  <c r="I13" i="3"/>
  <c r="G13" i="3"/>
  <c r="E13" i="3"/>
  <c r="C13" i="3"/>
  <c r="A10" i="3"/>
  <c r="A7" i="3"/>
  <c r="Y13" i="1" l="1"/>
  <c r="W13" i="1"/>
  <c r="U13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A49" i="1"/>
  <c r="I14" i="1"/>
  <c r="E14" i="1"/>
  <c r="C14" i="1"/>
  <c r="B17" i="1" l="1"/>
  <c r="B16" i="1"/>
  <c r="A16" i="1"/>
  <c r="A43" i="1"/>
  <c r="A15" i="1"/>
  <c r="A48" i="1"/>
  <c r="A44" i="1"/>
  <c r="S13" i="1"/>
  <c r="Q13" i="1"/>
  <c r="O13" i="1"/>
  <c r="M13" i="1"/>
  <c r="K13" i="1"/>
  <c r="I13" i="1"/>
  <c r="G13" i="1"/>
  <c r="E13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G14" i="1"/>
  <c r="F14" i="1"/>
  <c r="D14" i="1"/>
  <c r="C13" i="1"/>
  <c r="A10" i="1"/>
  <c r="A9" i="1"/>
  <c r="A7" i="1"/>
  <c r="A45" i="1" l="1"/>
  <c r="A46" i="1"/>
</calcChain>
</file>

<file path=xl/sharedStrings.xml><?xml version="1.0" encoding="utf-8"?>
<sst xmlns="http://schemas.openxmlformats.org/spreadsheetml/2006/main" count="591" uniqueCount="344">
  <si>
    <t>Anzahl Personen</t>
  </si>
  <si>
    <t>Vertrauens- intervall:        ± (in %)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</si>
  <si>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</si>
  <si>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</si>
  <si>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</si>
  <si>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</si>
  <si>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</si>
  <si>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</si>
  <si>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</si>
  <si>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</si>
  <si>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</si>
  <si>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</si>
  <si>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</si>
  <si>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</si>
  <si>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</si>
  <si>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</si>
  <si>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</si>
  <si>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</si>
  <si>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T1-2</t>
  </si>
  <si>
    <t>&lt;SpaltenTitel_1&gt;</t>
  </si>
  <si>
    <t>Total</t>
  </si>
  <si>
    <t>Totale</t>
  </si>
  <si>
    <t>&lt;SpaltenTitel_2&gt;</t>
  </si>
  <si>
    <t>Erwerbspersonen</t>
  </si>
  <si>
    <t>Persunas cun gudogn</t>
  </si>
  <si>
    <t>&lt;SpaltenTitel_3&gt;</t>
  </si>
  <si>
    <t>Erwerbstätige</t>
  </si>
  <si>
    <t>Persunas cun activitad da gudogn</t>
  </si>
  <si>
    <t>&lt;SpaltenTitel_4&gt;</t>
  </si>
  <si>
    <t>Vollzeiterwerbstätige (90-100%)</t>
  </si>
  <si>
    <t>Persunas cun activitad da gudogn a temp cumplain (90-100%)</t>
  </si>
  <si>
    <t>&lt;SpaltenTitel_5&gt;</t>
  </si>
  <si>
    <t>Teilzeiterwerbstätige I (70-89%)</t>
  </si>
  <si>
    <t>Persunas cun activitad da gudogn a temp parzial I (70-89%)</t>
  </si>
  <si>
    <t>&lt;SpaltenTitel_6&gt;</t>
  </si>
  <si>
    <t>Teilzeiterwerbstätige II (50-69%)</t>
  </si>
  <si>
    <t>Persunas cun activitad da gudogn a temp parzial II (50-69%)</t>
  </si>
  <si>
    <t>&lt;SpaltenTitel_7&gt;</t>
  </si>
  <si>
    <t>Teilzeiterwerbstätige III (weniger als 50%)</t>
  </si>
  <si>
    <t>Persunas cun activitad da gudogn a temp parzial III (main che 50%)</t>
  </si>
  <si>
    <t>&lt;SpaltenTitel_8&gt;</t>
  </si>
  <si>
    <t>Erwerbslose</t>
  </si>
  <si>
    <t>Persunas senza activitad da gudogn</t>
  </si>
  <si>
    <t>&lt;SpaltenTitel_9&gt;</t>
  </si>
  <si>
    <t>Nichterwerbspersonen in Ausbildung</t>
  </si>
  <si>
    <t>Persunas senza activitad da gudogn en scolaziun</t>
  </si>
  <si>
    <t>&lt;SpaltenTitel_10&gt;</t>
  </si>
  <si>
    <t>Hausfrauen/Hausmänner</t>
  </si>
  <si>
    <t>Chasarinas/chasarin</t>
  </si>
  <si>
    <t>&lt;SpaltenTitel_11&gt;</t>
  </si>
  <si>
    <t>Rentner/innen (AHV, IV)</t>
  </si>
  <si>
    <t>Pensiunads (AVS, AI)</t>
  </si>
  <si>
    <t>&lt;SpaltenTitel_12&gt;</t>
  </si>
  <si>
    <t>Andere Nichterwerbspersonen</t>
  </si>
  <si>
    <t>Autras persunas senza lavur</t>
  </si>
  <si>
    <t>&lt;SpaltenTitel_1.1&gt;</t>
  </si>
  <si>
    <t>Dumber da persunas</t>
  </si>
  <si>
    <t>Numero di persone</t>
  </si>
  <si>
    <t>&lt;SpaltenTitel_1.2&gt;</t>
  </si>
  <si>
    <t>Vertrauens- intervall:          ± (in %)</t>
  </si>
  <si>
    <t>Interval da confidenza:          ± (en %)</t>
  </si>
  <si>
    <t>Intervallo di confidenza:          ± (in %)</t>
  </si>
  <si>
    <t>&lt;Zeilentitel_1&gt;</t>
  </si>
  <si>
    <t>&lt;Zeilentitel_2&gt;</t>
  </si>
  <si>
    <t>Kanton</t>
  </si>
  <si>
    <t>Chantun</t>
  </si>
  <si>
    <t>Cantone</t>
  </si>
  <si>
    <t>&lt;Zeilentitel_2.1&gt;</t>
  </si>
  <si>
    <t>Zürich</t>
  </si>
  <si>
    <t>Turitg</t>
  </si>
  <si>
    <t>Zurigo</t>
  </si>
  <si>
    <t>&lt;Zeilentitel_2.2&gt;</t>
  </si>
  <si>
    <t>Bern</t>
  </si>
  <si>
    <t>Berna</t>
  </si>
  <si>
    <t>&lt;Zeilentitel_2.3&gt;</t>
  </si>
  <si>
    <t>Luzern</t>
  </si>
  <si>
    <t>Lucerna</t>
  </si>
  <si>
    <t>&lt;Zeilentitel_2.4&gt;</t>
  </si>
  <si>
    <t>Uri</t>
  </si>
  <si>
    <t>&lt;Zeilentitel_2.5&gt;</t>
  </si>
  <si>
    <t>Schwyz</t>
  </si>
  <si>
    <t>Sviz</t>
  </si>
  <si>
    <t>Svitto</t>
  </si>
  <si>
    <t>&lt;Zeilentitel_2.6&gt;</t>
  </si>
  <si>
    <t>Obwalden</t>
  </si>
  <si>
    <t>Sursilvania</t>
  </si>
  <si>
    <t>Obvaldo</t>
  </si>
  <si>
    <t>&lt;Zeilentitel_2.7&gt;</t>
  </si>
  <si>
    <t>Nidwalden</t>
  </si>
  <si>
    <t>Sutsilvania</t>
  </si>
  <si>
    <t>Nidvaldo</t>
  </si>
  <si>
    <t>&lt;Zeilentitel_2.8&gt;</t>
  </si>
  <si>
    <t>Glarus</t>
  </si>
  <si>
    <t>Glaruna</t>
  </si>
  <si>
    <t>Glarona</t>
  </si>
  <si>
    <t>&lt;Zeilentitel_2.9&gt;</t>
  </si>
  <si>
    <t>Zug</t>
  </si>
  <si>
    <t>Zugo</t>
  </si>
  <si>
    <t>&lt;Zeilentitel_2.10&gt;</t>
  </si>
  <si>
    <t>Freiburg</t>
  </si>
  <si>
    <t>Friburg</t>
  </si>
  <si>
    <t>Friborgo</t>
  </si>
  <si>
    <t>&lt;Zeilentitel_2.11&gt;</t>
  </si>
  <si>
    <t>Solothurn</t>
  </si>
  <si>
    <t>Soloturn</t>
  </si>
  <si>
    <t>Soletta</t>
  </si>
  <si>
    <t>&lt;Zeilentitel_2.12&gt;</t>
  </si>
  <si>
    <t>Basel-Stadt</t>
  </si>
  <si>
    <t>Basilea-Citad</t>
  </si>
  <si>
    <t>Basilea Città</t>
  </si>
  <si>
    <t>&lt;Zeilentitel_2.13&gt;</t>
  </si>
  <si>
    <t>Basel-Landschaft</t>
  </si>
  <si>
    <t>Basilea-Champagna</t>
  </si>
  <si>
    <t>Basilea Campagna</t>
  </si>
  <si>
    <t>&lt;Zeilentitel_2.14&gt;</t>
  </si>
  <si>
    <t>Schaffhausen</t>
  </si>
  <si>
    <t>Schaffusa</t>
  </si>
  <si>
    <t>Sciaffusa</t>
  </si>
  <si>
    <t>&lt;Zeilentitel_2.15&gt;</t>
  </si>
  <si>
    <t>Appenzell Ausserrhoden</t>
  </si>
  <si>
    <t>Appenzell Dadora</t>
  </si>
  <si>
    <t>Appenzello Esterno</t>
  </si>
  <si>
    <t>&lt;Zeilentitel_2.16&gt;</t>
  </si>
  <si>
    <t>Appenzell Innerrhoden</t>
  </si>
  <si>
    <t>Appenzell Dadens</t>
  </si>
  <si>
    <t>Appenzello Interno</t>
  </si>
  <si>
    <t>&lt;Zeilentitel_2.17&gt;</t>
  </si>
  <si>
    <t>St. Gallen</t>
  </si>
  <si>
    <t>Son Gagl</t>
  </si>
  <si>
    <t>San Gallo</t>
  </si>
  <si>
    <t>&lt;Zeilentitel_2.18&gt;</t>
  </si>
  <si>
    <t>Graubünden</t>
  </si>
  <si>
    <t>Grischun</t>
  </si>
  <si>
    <t>Grigioni</t>
  </si>
  <si>
    <t>&lt;Zeilentitel_2.19&gt;</t>
  </si>
  <si>
    <t>Aargau</t>
  </si>
  <si>
    <t>Argovia</t>
  </si>
  <si>
    <t>&lt;Zeilentitel_2.20&gt;</t>
  </si>
  <si>
    <t>Thurgau</t>
  </si>
  <si>
    <t>Turgovia</t>
  </si>
  <si>
    <t>&lt;Zeilentitel_2.21&gt;</t>
  </si>
  <si>
    <t>Ticino</t>
  </si>
  <si>
    <t>Tessin</t>
  </si>
  <si>
    <t>&lt;Zeilentitel_2.22&gt;</t>
  </si>
  <si>
    <t>Vaud</t>
  </si>
  <si>
    <t>Vad</t>
  </si>
  <si>
    <t>&lt;Zeilentitel_2.23&gt;</t>
  </si>
  <si>
    <t>Wallis</t>
  </si>
  <si>
    <t>Vallais</t>
  </si>
  <si>
    <t>Vallese</t>
  </si>
  <si>
    <t>&lt;Zeilentitel_2.24&gt;</t>
  </si>
  <si>
    <t>Neuchâtel</t>
  </si>
  <si>
    <t>&lt;Zeilentitel_2.25&gt;</t>
  </si>
  <si>
    <t>Genève</t>
  </si>
  <si>
    <t>Genevra</t>
  </si>
  <si>
    <t>Ginevra</t>
  </si>
  <si>
    <t>&lt;Zeilentitel_2.26&gt;</t>
  </si>
  <si>
    <t>Jura</t>
  </si>
  <si>
    <t>Giura</t>
  </si>
  <si>
    <t>&lt;Legende_1&gt;</t>
  </si>
  <si>
    <t>(): Extrapolation aufgrund von 49 oder weniger Beobachtungen. Die Resultate sind mit grosser Vorsicht zu interpretieren.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</si>
  <si>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</si>
  <si>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</si>
  <si>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&lt;Legende_2&gt;</t>
  </si>
  <si>
    <t>X: Extrapolation aufgrund von 4 oder weniger Beobachtungen. Die Resultate werden aus Gründen des Datenschutzes nicht publiziert.</t>
  </si>
  <si>
    <t>X: Extrapolaziun pervia da 4 u damain observaziuns. Per motivs da la protecziun da datas na vegnan ils resultats betg publitgads.</t>
  </si>
  <si>
    <t>X : Estrapolazione basata su meno di 5 osservazioni. I risultati non sono pubblicati per ragioni legate alla protezione dei dati.</t>
  </si>
  <si>
    <t>&lt;Legende_3&gt;</t>
  </si>
  <si>
    <t>Die Grundgesamtheit der Strukturerhebung enthält alle Personen der ständigen Wohnbevölkerung ab vollendetem 15. Altersjahr, die in Privathaushalten leben.</t>
  </si>
  <si>
    <t>La survista da basa da l'enquista da structura cumpiglia tut las persunas da la populaziun residenta permanenta a partir da 15 onns che vivan en chasadas privatas.</t>
  </si>
  <si>
    <t>L'universo di base della rilevazione strutturale comprende tutte le persone facenti parte della popolazione residente permanente di 15 anni e più che vivono in un'economia domestica.</t>
  </si>
  <si>
    <t>&lt;Legende_4&gt;</t>
  </si>
  <si>
    <t>Aus der Grundgesamtheit ausgeschlossen wurden neben den Personen, die in Kollektivhaushalten leben, auch Diplomaten, internationale Funktionäre und deren Angehörige.</t>
  </si>
  <si>
    <t>Exclus da la totalitad fundamentala èn vegnids ultra da las persunas che vivan en chasadas collectivas er diplomats, funcziunaris internaziunals e lur confamigliars.</t>
  </si>
  <si>
    <t>Sono esclusi diplomatici, i funzionari internazionali ed i loro familiari e le persone che vivono in una collettività.</t>
  </si>
  <si>
    <t>&lt;Legende_5&gt;</t>
  </si>
  <si>
    <t>&lt;Quelle_1&gt;</t>
  </si>
  <si>
    <t>Quelle: BFS (Strukturerhebung)</t>
  </si>
  <si>
    <t>Funtauna: UST (enquista da structura)</t>
  </si>
  <si>
    <t>Fonte: UST (Rilevazione strutturale)</t>
  </si>
  <si>
    <t>&lt;Aktualisierung&gt;</t>
  </si>
  <si>
    <t>Arbeitsmarktstatus nach Kanton</t>
  </si>
  <si>
    <t>Geschlecht</t>
  </si>
  <si>
    <t>Männer</t>
  </si>
  <si>
    <t>Frauen</t>
  </si>
  <si>
    <t>Alter</t>
  </si>
  <si>
    <t>15-24</t>
  </si>
  <si>
    <t>25-44</t>
  </si>
  <si>
    <t>45-64</t>
  </si>
  <si>
    <t>65 und mehr</t>
  </si>
  <si>
    <t>Staatsangehörigkeit</t>
  </si>
  <si>
    <t>Schweiz</t>
  </si>
  <si>
    <t>Staatsangehörigkeit unbekannt</t>
  </si>
  <si>
    <t>Migrationsstatus</t>
  </si>
  <si>
    <t>Schweizer/innen ohne Migrationshintergrund</t>
  </si>
  <si>
    <t>Schweizer/innen mit Migrationshintergrund</t>
  </si>
  <si>
    <t>Ausländer/innen der ersten Generation</t>
  </si>
  <si>
    <t>Ausländer/innen der zweiten und höheren Generation</t>
  </si>
  <si>
    <t>Migrationshintergrund unbekannt</t>
  </si>
  <si>
    <t>Sozioprofessionelle Kategorien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</si>
  <si>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</si>
  <si>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</si>
  <si>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</si>
  <si>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</si>
  <si>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</si>
  <si>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</si>
  <si>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</si>
  <si>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Lernende in dualer beruflicher Grundbildung (Lehrlinge)</t>
  </si>
  <si>
    <t>Erwerbslose und Nichterwerbspersonen</t>
  </si>
  <si>
    <t>Höchste abgeschlossene Ausbildung</t>
  </si>
  <si>
    <t>Sekundarstufe II</t>
  </si>
  <si>
    <t>Tertiärstufe</t>
  </si>
  <si>
    <t>Status dal martgà da lavur tenor il chantun</t>
  </si>
  <si>
    <t>T2</t>
  </si>
  <si>
    <t>&lt;T2Zeilentitel_1&gt;</t>
  </si>
  <si>
    <t>&lt;T2Zeilentitel_2&gt;</t>
  </si>
  <si>
    <t>Gender</t>
  </si>
  <si>
    <t>Sesso</t>
  </si>
  <si>
    <t>&lt;T2Zeilentitel_3&gt;</t>
  </si>
  <si>
    <t>Vegliadetgna</t>
  </si>
  <si>
    <t>Età</t>
  </si>
  <si>
    <t>&lt;T2Zeilentitel_4&gt;</t>
  </si>
  <si>
    <t>Naziunalitad</t>
  </si>
  <si>
    <t>Cittadinanza</t>
  </si>
  <si>
    <t>&lt;T2Zeilentitel_5&gt;</t>
  </si>
  <si>
    <t>Status da migraziun</t>
  </si>
  <si>
    <t>Passato migratorio</t>
  </si>
  <si>
    <t>&lt;T2Zeilentitel_6&gt;</t>
  </si>
  <si>
    <t>Categorias socioprofessiunalas</t>
  </si>
  <si>
    <t>Categorie socio-professionali</t>
  </si>
  <si>
    <t>&lt;T2Zeilentitel_7&gt;</t>
  </si>
  <si>
    <t>La pli auta scolaziun terminada</t>
  </si>
  <si>
    <t>Formazione più elevata conclusa</t>
  </si>
  <si>
    <t>&lt;T2Zeilentitel_2.1&gt;</t>
  </si>
  <si>
    <t>Umens</t>
  </si>
  <si>
    <t>Uomini</t>
  </si>
  <si>
    <t>&lt;T2Zeilentitel_2.2&gt;</t>
  </si>
  <si>
    <t>Dunnas</t>
  </si>
  <si>
    <t>Donne</t>
  </si>
  <si>
    <t>&lt;T2Zeilentitel_3.1&gt;</t>
  </si>
  <si>
    <t>&lt;T2Zeilentitel_3.2&gt;</t>
  </si>
  <si>
    <t>&lt;T2Zeilentitel_3.3&gt;</t>
  </si>
  <si>
    <t>&lt;T2Zeilentitel_3.4&gt;</t>
  </si>
  <si>
    <t>65 e dapli</t>
  </si>
  <si>
    <t>65 e più</t>
  </si>
  <si>
    <t>&lt;T2Zeilentitel_4.1&gt;</t>
  </si>
  <si>
    <t>Svizra</t>
  </si>
  <si>
    <t>Svizzera</t>
  </si>
  <si>
    <t>&lt;T2Zeilentitel_4.2&gt;</t>
  </si>
  <si>
    <t>EU28 und EFTA</t>
  </si>
  <si>
    <t>UE28 ed AECL</t>
  </si>
  <si>
    <t>UE e AELS</t>
  </si>
  <si>
    <t>&lt;T2Zeilentitel_4.3&gt;</t>
  </si>
  <si>
    <t>Andere europäische Staaten</t>
  </si>
  <si>
    <t>Auters stadis europeics</t>
  </si>
  <si>
    <t>Altro paese europeo</t>
  </si>
  <si>
    <t>&lt;T2Zeilentitel_4.4&gt;</t>
  </si>
  <si>
    <t>Andere Staaten</t>
  </si>
  <si>
    <t>Auters stadis</t>
  </si>
  <si>
    <t>Paese extraeuropeo</t>
  </si>
  <si>
    <t>&lt;T2Zeilentitel_4.5&gt;</t>
  </si>
  <si>
    <t>Naziunalitad n'è betg enconuschenta</t>
  </si>
  <si>
    <t>Cittadinanza sconosciuta</t>
  </si>
  <si>
    <t>&lt;T2Zeilentitel_5.1&gt;</t>
  </si>
  <si>
    <t>Svizzers senza retroterra da migraziun</t>
  </si>
  <si>
    <t>Svizzeri/e senza un passato migratorio</t>
  </si>
  <si>
    <t>&lt;T2Zeilentitel_5.2&gt;</t>
  </si>
  <si>
    <t>Svizzers cun ina migraziun</t>
  </si>
  <si>
    <t>Svizzeri/e con un passato migratorio</t>
  </si>
  <si>
    <t>&lt;T2Zeilentitel_5.3&gt;</t>
  </si>
  <si>
    <t>Persunas estras da l'emprima generaziun</t>
  </si>
  <si>
    <t>Stranieri/e di prima generazione</t>
  </si>
  <si>
    <t>&lt;T2Zeilentitel_5.4&gt;</t>
  </si>
  <si>
    <t>Persunas estras da la segunda generaziun e da l'emprima</t>
  </si>
  <si>
    <t>Stranieri/e di seconda generazione e più</t>
  </si>
  <si>
    <t>&lt;T2Zeilentitel_5.5&gt;</t>
  </si>
  <si>
    <t>La migraziun n'è betg enconuschenta</t>
  </si>
  <si>
    <t>Passato migratorio sconosciuto</t>
  </si>
  <si>
    <t>&lt;T2Zeilentitel_6.1&gt;</t>
  </si>
  <si>
    <t>Management suprem</t>
  </si>
  <si>
    <t>Management superiore</t>
  </si>
  <si>
    <t>&lt;T2Zeilentitel_6.2&gt;</t>
  </si>
  <si>
    <t>Professiuns libras ed egualas</t>
  </si>
  <si>
    <t>Professioni liberali ed equiparate</t>
  </si>
  <si>
    <t>&lt;T2Zeilentitel_6.3&gt;</t>
  </si>
  <si>
    <t>Autras persunas independentas</t>
  </si>
  <si>
    <t>Altri indipendenti</t>
  </si>
  <si>
    <t>&lt;T2Zeilentitel_6.4&gt;</t>
  </si>
  <si>
    <t>Professiuns academicas e cader superiur</t>
  </si>
  <si>
    <t>Professioni accademiche e quadri superiori</t>
  </si>
  <si>
    <t>&lt;T2Zeilentitel_6.5&gt;</t>
  </si>
  <si>
    <t>Professiuns intermediaras</t>
  </si>
  <si>
    <t>Professioni intermediarie</t>
  </si>
  <si>
    <t>&lt;T2Zeilentitel_6.6&gt;</t>
  </si>
  <si>
    <t>Professiuns betg manualas qualifitgadas</t>
  </si>
  <si>
    <t>Professioni qualificate non manuali</t>
  </si>
  <si>
    <t>&lt;T2Zeilentitel_6.7&gt;</t>
  </si>
  <si>
    <t>Professiuns manualas qualifitgadas</t>
  </si>
  <si>
    <t>Professioni qualificate manuali</t>
  </si>
  <si>
    <t>&lt;T2Zeilentitel_6.8&gt;</t>
  </si>
  <si>
    <t>Ungelernte Angestellte und Arbeiter</t>
  </si>
  <si>
    <t>Emploiads e lavurants betg emprendids</t>
  </si>
  <si>
    <t>Impiegati e operai non qualificati</t>
  </si>
  <si>
    <t>&lt;T2Zeilentitel_6.9&gt;</t>
  </si>
  <si>
    <t>Emprendistas ed emprendists en ina furmaziun fundamentala professiunala dubla (emprendists)</t>
  </si>
  <si>
    <t>Persone in formazione professionale di base duale (apprendisti)</t>
  </si>
  <si>
    <t>&lt;T2Zeilentitel_6.10&gt;</t>
  </si>
  <si>
    <t>Nicht zuteilbare Erwerbstätige (fehlende oder unklare Basisdaten oder unplausible Kombination)</t>
  </si>
  <si>
    <t>Persunas cun activitad da gudogn che n'èn betg attribuiblas (datas da basa mancantas u betg cleras u ina cumbinaziun inclausibla)</t>
  </si>
  <si>
    <t>Occupati non attribuibili (dati di base mancanti)</t>
  </si>
  <si>
    <t>&lt;T2Zeilentitel_6.11&gt;</t>
  </si>
  <si>
    <t>Persunas senza activitad da gudogn e persunas senza activitad da gudogn</t>
  </si>
  <si>
    <t>Disoccupati e persone senza attività professionale</t>
  </si>
  <si>
    <t>&lt;T2Zeilentitel_7.1&gt;</t>
  </si>
  <si>
    <t>Obligatorische Schule</t>
  </si>
  <si>
    <t>Scola obligatorica</t>
  </si>
  <si>
    <t>Senza formazione postobbligatoria</t>
  </si>
  <si>
    <t>&lt;T2Zeilentitel_7.2&gt;</t>
  </si>
  <si>
    <t>Stgalim secundar II</t>
  </si>
  <si>
    <t>Livello secondario II</t>
  </si>
  <si>
    <t>&lt;T2Zeilentitel_7.3&gt;</t>
  </si>
  <si>
    <t>Stgalim terziar</t>
  </si>
  <si>
    <t>Livello terziario</t>
  </si>
  <si>
    <t>&lt;T2Titel&gt;</t>
  </si>
  <si>
    <t>Erwerbsstatus im Kanton Graubünden</t>
  </si>
  <si>
    <t>Status d'engaschament en il chantun Grischun</t>
  </si>
  <si>
    <t>Condizione professionale nel Cantone dei Grigioni</t>
  </si>
  <si>
    <t>&lt;T2Aktualisierung&gt;</t>
  </si>
  <si>
    <t>Letztmals aktualisiert am: 26.01.2024</t>
  </si>
  <si>
    <t>Ultima actualisaziun: 26.01.2024</t>
  </si>
  <si>
    <t>Ulimo aggiornamento: 26.01.2024</t>
  </si>
  <si>
    <t>X</t>
  </si>
  <si>
    <t>Persone attive</t>
  </si>
  <si>
    <t>Occupati</t>
  </si>
  <si>
    <t>Occupati a tempo pieno (90-100%)</t>
  </si>
  <si>
    <t>Occupati a tempo parziale I (70-89%)</t>
  </si>
  <si>
    <t>Occupati a tempo parziale II (50-69%)</t>
  </si>
  <si>
    <t>Occupati a tempo parziale III (meno di 50%)</t>
  </si>
  <si>
    <t>Disoccupati</t>
  </si>
  <si>
    <t>Persone senza attività professionale in formazione</t>
  </si>
  <si>
    <t>Casalinghi/e</t>
  </si>
  <si>
    <t>Pensionati/e</t>
  </si>
  <si>
    <t>Altre persone senza attività professionale</t>
  </si>
  <si>
    <t>Stato sul mercato del lavoro secondo il Cantone,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</si>
</sst>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_ ;\-#,##0\ "/>
    <numFmt numFmtId="167" formatCode="0.0"/>
    <numFmt numFmtId="168" formatCode="\(0.0\)"/>
    <numFmt numFmtId="169" formatCode="_-* #,##0.00\ _€_-;\-* #,##0.00\ _€_-;_-* &quot;-&quot;??\ _€_-;_-@_-"/>
    <numFmt numFmtId="170" formatCode="* #,###"/>
    <numFmt numFmtId="171" formatCode="\(0\)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rgb="FF000000"/>
      <name val="Segoe UI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122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3" applyFont="1" applyFill="1" applyAlignment="1">
      <alignment horizontal="left" vertical="top"/>
    </xf>
    <xf numFmtId="164" fontId="8" fillId="2" borderId="0" xfId="4" applyNumberFormat="1" applyFont="1" applyFill="1" applyBorder="1" applyAlignment="1" applyProtection="1">
      <alignment horizontal="left" vertical="top"/>
    </xf>
    <xf numFmtId="0" fontId="9" fillId="2" borderId="0" xfId="3" applyFont="1" applyFill="1" applyAlignment="1">
      <alignment horizontal="right" vertical="center"/>
    </xf>
    <xf numFmtId="0" fontId="3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3" fontId="4" fillId="2" borderId="0" xfId="1" applyNumberFormat="1" applyFont="1" applyFill="1" applyBorder="1" applyAlignment="1" applyProtection="1">
      <alignment horizontal="right" wrapText="1"/>
    </xf>
    <xf numFmtId="165" fontId="4" fillId="2" borderId="0" xfId="2" applyNumberFormat="1" applyFont="1" applyFill="1" applyBorder="1" applyAlignment="1" applyProtection="1">
      <alignment horizontal="right" wrapText="1"/>
    </xf>
    <xf numFmtId="166" fontId="4" fillId="2" borderId="0" xfId="1" applyNumberFormat="1" applyFont="1" applyFill="1" applyBorder="1" applyAlignment="1" applyProtection="1">
      <alignment horizontal="right" wrapText="1"/>
    </xf>
    <xf numFmtId="165" fontId="4" fillId="2" borderId="0" xfId="1" applyNumberFormat="1" applyFont="1" applyFill="1" applyBorder="1" applyAlignment="1" applyProtection="1">
      <alignment horizontal="right" wrapText="1"/>
    </xf>
    <xf numFmtId="0" fontId="11" fillId="4" borderId="0" xfId="0" applyFont="1" applyFill="1" applyAlignment="1">
      <alignment horizontal="left" vertical="top"/>
    </xf>
    <xf numFmtId="0" fontId="10" fillId="2" borderId="3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 wrapText="1"/>
    </xf>
    <xf numFmtId="170" fontId="12" fillId="2" borderId="7" xfId="6" applyNumberFormat="1" applyFont="1" applyFill="1" applyBorder="1" applyAlignment="1" applyProtection="1">
      <alignment horizontal="right" vertical="center" wrapText="1"/>
    </xf>
    <xf numFmtId="167" fontId="12" fillId="2" borderId="6" xfId="6" applyNumberFormat="1" applyFont="1" applyFill="1" applyBorder="1" applyAlignment="1" applyProtection="1">
      <alignment horizontal="right" vertical="center" wrapText="1"/>
    </xf>
    <xf numFmtId="170" fontId="12" fillId="2" borderId="6" xfId="6" applyNumberFormat="1" applyFont="1" applyFill="1" applyBorder="1" applyAlignment="1" applyProtection="1">
      <alignment horizontal="right" vertical="center" wrapText="1"/>
    </xf>
    <xf numFmtId="3" fontId="4" fillId="2" borderId="13" xfId="6" applyNumberFormat="1" applyFont="1" applyFill="1" applyBorder="1" applyAlignment="1" applyProtection="1">
      <alignment horizontal="right" vertical="center" wrapText="1"/>
    </xf>
    <xf numFmtId="167" fontId="4" fillId="2" borderId="0" xfId="6" applyNumberFormat="1" applyFont="1" applyFill="1" applyBorder="1" applyAlignment="1" applyProtection="1">
      <alignment horizontal="right" vertical="center" wrapText="1"/>
    </xf>
    <xf numFmtId="3" fontId="4" fillId="2" borderId="0" xfId="6" applyNumberFormat="1" applyFont="1" applyFill="1" applyBorder="1" applyAlignment="1" applyProtection="1">
      <alignment horizontal="right" vertical="center" wrapText="1"/>
    </xf>
    <xf numFmtId="171" fontId="4" fillId="2" borderId="0" xfId="6" applyNumberFormat="1" applyFont="1" applyFill="1" applyBorder="1" applyAlignment="1" applyProtection="1">
      <alignment horizontal="right" vertical="center" wrapText="1"/>
    </xf>
    <xf numFmtId="168" fontId="4" fillId="2" borderId="0" xfId="6" applyNumberFormat="1" applyFont="1" applyFill="1" applyBorder="1" applyAlignment="1" applyProtection="1">
      <alignment horizontal="right" vertical="center" wrapText="1"/>
    </xf>
    <xf numFmtId="167" fontId="12" fillId="2" borderId="9" xfId="6" applyNumberFormat="1" applyFont="1" applyFill="1" applyBorder="1" applyAlignment="1" applyProtection="1">
      <alignment horizontal="right" vertical="center" wrapText="1"/>
    </xf>
    <xf numFmtId="167" fontId="4" fillId="2" borderId="12" xfId="6" applyNumberFormat="1" applyFont="1" applyFill="1" applyBorder="1" applyAlignment="1" applyProtection="1">
      <alignment horizontal="right" vertical="center" wrapText="1"/>
    </xf>
    <xf numFmtId="168" fontId="4" fillId="2" borderId="12" xfId="6" applyNumberFormat="1" applyFont="1" applyFill="1" applyBorder="1" applyAlignment="1" applyProtection="1">
      <alignment horizontal="right" vertical="center" wrapText="1"/>
    </xf>
    <xf numFmtId="170" fontId="12" fillId="2" borderId="10" xfId="6" applyNumberFormat="1" applyFont="1" applyFill="1" applyBorder="1" applyAlignment="1" applyProtection="1">
      <alignment horizontal="right" vertical="center" wrapText="1"/>
    </xf>
    <xf numFmtId="3" fontId="4" fillId="2" borderId="11" xfId="6" applyNumberFormat="1" applyFont="1" applyFill="1" applyBorder="1" applyAlignment="1" applyProtection="1">
      <alignment horizontal="right" vertical="center" wrapText="1"/>
    </xf>
    <xf numFmtId="171" fontId="4" fillId="2" borderId="11" xfId="6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8" xfId="1" applyNumberFormat="1" applyFont="1" applyFill="1" applyBorder="1" applyAlignment="1" applyProtection="1">
      <alignment horizontal="right" vertical="top" wrapText="1"/>
    </xf>
    <xf numFmtId="0" fontId="11" fillId="2" borderId="9" xfId="2" applyNumberFormat="1" applyFont="1" applyFill="1" applyBorder="1" applyAlignment="1" applyProtection="1">
      <alignment horizontal="right" vertical="top" wrapText="1"/>
    </xf>
    <xf numFmtId="3" fontId="4" fillId="3" borderId="13" xfId="6" applyNumberFormat="1" applyFont="1" applyFill="1" applyBorder="1" applyAlignment="1" applyProtection="1">
      <alignment horizontal="right" vertical="center" wrapText="1"/>
    </xf>
    <xf numFmtId="167" fontId="4" fillId="3" borderId="12" xfId="6" applyNumberFormat="1" applyFont="1" applyFill="1" applyBorder="1" applyAlignment="1" applyProtection="1">
      <alignment horizontal="right" vertical="center" wrapText="1"/>
    </xf>
    <xf numFmtId="3" fontId="4" fillId="3" borderId="11" xfId="6" applyNumberFormat="1" applyFont="1" applyFill="1" applyBorder="1" applyAlignment="1" applyProtection="1">
      <alignment horizontal="right" vertical="center" wrapText="1"/>
    </xf>
    <xf numFmtId="167" fontId="4" fillId="3" borderId="0" xfId="6" applyNumberFormat="1" applyFont="1" applyFill="1" applyBorder="1" applyAlignment="1" applyProtection="1">
      <alignment horizontal="right" vertical="center" wrapText="1"/>
    </xf>
    <xf numFmtId="3" fontId="4" fillId="3" borderId="0" xfId="6" applyNumberFormat="1" applyFont="1" applyFill="1" applyBorder="1" applyAlignment="1" applyProtection="1">
      <alignment horizontal="right" vertical="center" wrapText="1"/>
    </xf>
    <xf numFmtId="3" fontId="4" fillId="2" borderId="23" xfId="6" applyNumberFormat="1" applyFont="1" applyFill="1" applyBorder="1" applyAlignment="1" applyProtection="1">
      <alignment horizontal="right" vertical="center" wrapText="1"/>
    </xf>
    <xf numFmtId="167" fontId="4" fillId="2" borderId="24" xfId="6" applyNumberFormat="1" applyFont="1" applyFill="1" applyBorder="1" applyAlignment="1" applyProtection="1">
      <alignment horizontal="right" vertical="center" wrapText="1"/>
    </xf>
    <xf numFmtId="3" fontId="4" fillId="2" borderId="25" xfId="6" applyNumberFormat="1" applyFont="1" applyFill="1" applyBorder="1" applyAlignment="1" applyProtection="1">
      <alignment horizontal="right" vertical="center" wrapText="1"/>
    </xf>
    <xf numFmtId="167" fontId="4" fillId="2" borderId="1" xfId="6" applyNumberFormat="1" applyFont="1" applyFill="1" applyBorder="1" applyAlignment="1" applyProtection="1">
      <alignment horizontal="right" vertical="center" wrapText="1"/>
    </xf>
    <xf numFmtId="3" fontId="4" fillId="2" borderId="1" xfId="6" applyNumberFormat="1" applyFont="1" applyFill="1" applyBorder="1" applyAlignment="1" applyProtection="1">
      <alignment horizontal="right" vertical="center" wrapText="1"/>
    </xf>
    <xf numFmtId="0" fontId="11" fillId="0" borderId="19" xfId="1" applyNumberFormat="1" applyFont="1" applyFill="1" applyBorder="1" applyAlignment="1" applyProtection="1">
      <alignment horizontal="right" vertical="top" wrapText="1"/>
    </xf>
    <xf numFmtId="0" fontId="11" fillId="0" borderId="20" xfId="5" applyNumberFormat="1" applyFont="1" applyFill="1" applyBorder="1" applyAlignment="1" applyProtection="1">
      <alignment horizontal="right" vertical="top" wrapText="1"/>
    </xf>
    <xf numFmtId="3" fontId="4" fillId="2" borderId="13" xfId="6" applyNumberFormat="1" applyFont="1" applyFill="1" applyBorder="1" applyAlignment="1" applyProtection="1">
      <alignment horizontal="left" vertical="center" wrapText="1"/>
    </xf>
    <xf numFmtId="3" fontId="4" fillId="3" borderId="13" xfId="6" applyNumberFormat="1" applyFont="1" applyFill="1" applyBorder="1" applyAlignment="1" applyProtection="1">
      <alignment horizontal="left" vertical="center" wrapText="1"/>
    </xf>
    <xf numFmtId="3" fontId="4" fillId="2" borderId="23" xfId="6" applyNumberFormat="1" applyFont="1" applyFill="1" applyBorder="1" applyAlignment="1" applyProtection="1">
      <alignment horizontal="left" vertical="center" wrapText="1"/>
    </xf>
    <xf numFmtId="0" fontId="12" fillId="5" borderId="0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4" fillId="4" borderId="0" xfId="0" applyNumberFormat="1" applyFont="1" applyFill="1" applyBorder="1" applyAlignment="1" applyProtection="1">
      <alignment horizontal="left" vertical="center"/>
    </xf>
    <xf numFmtId="3" fontId="4" fillId="2" borderId="27" xfId="6" applyNumberFormat="1" applyFont="1" applyFill="1" applyBorder="1" applyAlignment="1" applyProtection="1">
      <alignment horizontal="left" vertical="center" wrapText="1"/>
    </xf>
    <xf numFmtId="3" fontId="4" fillId="2" borderId="27" xfId="6" applyNumberFormat="1" applyFont="1" applyFill="1" applyBorder="1" applyAlignment="1" applyProtection="1">
      <alignment horizontal="right" vertical="center" wrapText="1"/>
    </xf>
    <xf numFmtId="167" fontId="4" fillId="2" borderId="28" xfId="6" applyNumberFormat="1" applyFont="1" applyFill="1" applyBorder="1" applyAlignment="1" applyProtection="1">
      <alignment horizontal="right" vertical="center" wrapText="1"/>
    </xf>
    <xf numFmtId="3" fontId="4" fillId="2" borderId="29" xfId="6" applyNumberFormat="1" applyFont="1" applyFill="1" applyBorder="1" applyAlignment="1" applyProtection="1">
      <alignment horizontal="right" vertical="center" wrapText="1"/>
    </xf>
    <xf numFmtId="167" fontId="4" fillId="2" borderId="2" xfId="6" applyNumberFormat="1" applyFont="1" applyFill="1" applyBorder="1" applyAlignment="1" applyProtection="1">
      <alignment horizontal="right" vertical="center" wrapText="1"/>
    </xf>
    <xf numFmtId="3" fontId="4" fillId="2" borderId="2" xfId="6" applyNumberFormat="1" applyFont="1" applyFill="1" applyBorder="1" applyAlignment="1" applyProtection="1">
      <alignment horizontal="right" vertical="center" wrapText="1"/>
    </xf>
    <xf numFmtId="167" fontId="12" fillId="2" borderId="30" xfId="6" applyNumberFormat="1" applyFont="1" applyFill="1" applyBorder="1" applyAlignment="1" applyProtection="1">
      <alignment horizontal="right" vertical="center" wrapText="1"/>
    </xf>
    <xf numFmtId="167" fontId="4" fillId="2" borderId="31" xfId="6" applyNumberFormat="1" applyFont="1" applyFill="1" applyBorder="1" applyAlignment="1" applyProtection="1">
      <alignment horizontal="right" vertical="center" wrapText="1"/>
    </xf>
    <xf numFmtId="168" fontId="4" fillId="2" borderId="31" xfId="6" applyNumberFormat="1" applyFont="1" applyFill="1" applyBorder="1" applyAlignment="1" applyProtection="1">
      <alignment horizontal="right" vertical="center" wrapText="1"/>
    </xf>
    <xf numFmtId="167" fontId="4" fillId="3" borderId="31" xfId="6" applyNumberFormat="1" applyFont="1" applyFill="1" applyBorder="1" applyAlignment="1" applyProtection="1">
      <alignment horizontal="right" vertical="center" wrapText="1"/>
    </xf>
    <xf numFmtId="167" fontId="4" fillId="2" borderId="32" xfId="6" applyNumberFormat="1" applyFont="1" applyFill="1" applyBorder="1" applyAlignment="1" applyProtection="1">
      <alignment horizontal="right" vertical="center" wrapText="1"/>
    </xf>
    <xf numFmtId="167" fontId="12" fillId="2" borderId="33" xfId="6" applyNumberFormat="1" applyFont="1" applyFill="1" applyBorder="1" applyAlignment="1" applyProtection="1">
      <alignment horizontal="right" vertical="center" wrapText="1"/>
    </xf>
    <xf numFmtId="0" fontId="11" fillId="2" borderId="34" xfId="1" applyNumberFormat="1" applyFont="1" applyFill="1" applyBorder="1" applyAlignment="1" applyProtection="1">
      <alignment horizontal="right" vertical="top" wrapText="1"/>
    </xf>
    <xf numFmtId="0" fontId="11" fillId="2" borderId="12" xfId="2" applyNumberFormat="1" applyFont="1" applyFill="1" applyBorder="1" applyAlignment="1" applyProtection="1">
      <alignment horizontal="right" vertical="top" wrapText="1"/>
    </xf>
    <xf numFmtId="0" fontId="11" fillId="2" borderId="35" xfId="2" applyNumberFormat="1" applyFont="1" applyFill="1" applyBorder="1" applyAlignment="1" applyProtection="1">
      <alignment horizontal="right" vertical="top" wrapText="1"/>
    </xf>
    <xf numFmtId="0" fontId="11" fillId="0" borderId="34" xfId="1" applyNumberFormat="1" applyFont="1" applyFill="1" applyBorder="1" applyAlignment="1" applyProtection="1">
      <alignment horizontal="right" vertical="top" wrapText="1"/>
    </xf>
    <xf numFmtId="0" fontId="11" fillId="0" borderId="31" xfId="5" applyNumberFormat="1" applyFont="1" applyFill="1" applyBorder="1" applyAlignment="1" applyProtection="1">
      <alignment horizontal="right" vertical="top" wrapText="1"/>
    </xf>
    <xf numFmtId="0" fontId="11" fillId="0" borderId="36" xfId="1" applyNumberFormat="1" applyFont="1" applyFill="1" applyBorder="1" applyAlignment="1" applyProtection="1">
      <alignment horizontal="right" vertical="top" wrapText="1"/>
    </xf>
    <xf numFmtId="0" fontId="11" fillId="0" borderId="37" xfId="5" applyNumberFormat="1" applyFont="1" applyFill="1" applyBorder="1" applyAlignment="1" applyProtection="1">
      <alignment horizontal="right" vertical="top" wrapText="1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3" fontId="4" fillId="2" borderId="7" xfId="6" applyNumberFormat="1" applyFont="1" applyFill="1" applyBorder="1" applyAlignment="1" applyProtection="1">
      <alignment horizontal="left" vertical="center" wrapText="1"/>
    </xf>
    <xf numFmtId="3" fontId="4" fillId="2" borderId="7" xfId="6" applyNumberFormat="1" applyFont="1" applyFill="1" applyBorder="1" applyAlignment="1" applyProtection="1">
      <alignment horizontal="right" vertical="center" wrapText="1"/>
    </xf>
    <xf numFmtId="167" fontId="4" fillId="2" borderId="9" xfId="6" applyNumberFormat="1" applyFont="1" applyFill="1" applyBorder="1" applyAlignment="1" applyProtection="1">
      <alignment horizontal="right" vertical="center" wrapText="1"/>
    </xf>
    <xf numFmtId="3" fontId="4" fillId="2" borderId="10" xfId="6" applyNumberFormat="1" applyFont="1" applyFill="1" applyBorder="1" applyAlignment="1" applyProtection="1">
      <alignment horizontal="right" vertical="center" wrapText="1"/>
    </xf>
    <xf numFmtId="167" fontId="4" fillId="2" borderId="6" xfId="6" applyNumberFormat="1" applyFont="1" applyFill="1" applyBorder="1" applyAlignment="1" applyProtection="1">
      <alignment horizontal="right" vertical="center" wrapText="1"/>
    </xf>
    <xf numFmtId="3" fontId="4" fillId="2" borderId="6" xfId="6" applyNumberFormat="1" applyFont="1" applyFill="1" applyBorder="1" applyAlignment="1" applyProtection="1">
      <alignment horizontal="right" vertical="center" wrapText="1"/>
    </xf>
    <xf numFmtId="167" fontId="4" fillId="2" borderId="30" xfId="6" applyNumberFormat="1" applyFont="1" applyFill="1" applyBorder="1" applyAlignment="1" applyProtection="1">
      <alignment horizontal="right" vertical="center" wrapText="1"/>
    </xf>
    <xf numFmtId="171" fontId="4" fillId="2" borderId="10" xfId="6" applyNumberFormat="1" applyFont="1" applyFill="1" applyBorder="1" applyAlignment="1" applyProtection="1">
      <alignment horizontal="right" vertical="center" wrapText="1"/>
    </xf>
    <xf numFmtId="168" fontId="4" fillId="2" borderId="6" xfId="6" applyNumberFormat="1" applyFont="1" applyFill="1" applyBorder="1" applyAlignment="1" applyProtection="1">
      <alignment horizontal="right" vertical="center" wrapText="1"/>
    </xf>
    <xf numFmtId="171" fontId="4" fillId="2" borderId="6" xfId="6" applyNumberFormat="1" applyFont="1" applyFill="1" applyBorder="1" applyAlignment="1" applyProtection="1">
      <alignment horizontal="right" vertical="center" wrapText="1"/>
    </xf>
    <xf numFmtId="168" fontId="4" fillId="2" borderId="9" xfId="6" applyNumberFormat="1" applyFont="1" applyFill="1" applyBorder="1" applyAlignment="1" applyProtection="1">
      <alignment horizontal="right" vertical="center" wrapText="1"/>
    </xf>
    <xf numFmtId="170" fontId="12" fillId="2" borderId="21" xfId="6" applyNumberFormat="1" applyFont="1" applyFill="1" applyBorder="1" applyAlignment="1" applyProtection="1">
      <alignment horizontal="right" vertical="center" wrapText="1"/>
    </xf>
    <xf numFmtId="167" fontId="12" fillId="2" borderId="20" xfId="6" applyNumberFormat="1" applyFont="1" applyFill="1" applyBorder="1" applyAlignment="1" applyProtection="1">
      <alignment horizontal="right" vertical="center" wrapText="1"/>
    </xf>
    <xf numFmtId="170" fontId="12" fillId="2" borderId="19" xfId="6" applyNumberFormat="1" applyFont="1" applyFill="1" applyBorder="1" applyAlignment="1" applyProtection="1">
      <alignment horizontal="right" vertical="center" wrapText="1"/>
    </xf>
    <xf numFmtId="167" fontId="12" fillId="2" borderId="39" xfId="6" applyNumberFormat="1" applyFont="1" applyFill="1" applyBorder="1" applyAlignment="1" applyProtection="1">
      <alignment horizontal="right" vertical="center" wrapText="1"/>
    </xf>
    <xf numFmtId="170" fontId="12" fillId="2" borderId="39" xfId="6" applyNumberFormat="1" applyFont="1" applyFill="1" applyBorder="1" applyAlignment="1" applyProtection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3" borderId="3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14">
    <cellStyle name="Komma" xfId="1" builtinId="3"/>
    <cellStyle name="Komma 2" xfId="4"/>
    <cellStyle name="Komma 3" xfId="6"/>
    <cellStyle name="Normale 2" xfId="13"/>
    <cellStyle name="Prozent" xfId="2" builtinId="5"/>
    <cellStyle name="Prozent 2" xfId="5"/>
    <cellStyle name="Standard" xfId="0" builtinId="0"/>
    <cellStyle name="Standard 2" xfId="3"/>
    <cellStyle name="Standard 2 2" xfId="10"/>
    <cellStyle name="Standard 2 3" xfId="7"/>
    <cellStyle name="Standard 3" xfId="8"/>
    <cellStyle name="Standard 4" xfId="9"/>
    <cellStyle name="Standard 4 2" xfId="11"/>
    <cellStyle name="Standard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19050</xdr:rowOff>
    </xdr:from>
    <xdr:to>
      <xdr:col>5</xdr:col>
      <xdr:colOff>695939</xdr:colOff>
      <xdr:row>4</xdr:row>
      <xdr:rowOff>158223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200650" y="19050"/>
          <a:ext cx="2639039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2" cy="533405"/>
                <a:chOff x="6553200" y="374273"/>
                <a:chExt cx="1200152" cy="533405"/>
              </a:xfrm>
              <a:grpFill/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549275</xdr:colOff>
      <xdr:row>5</xdr:row>
      <xdr:rowOff>4202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663575</xdr:colOff>
      <xdr:row>5</xdr:row>
      <xdr:rowOff>4202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28127"/>
        </a:xfrm>
        <a:prstGeom prst="rect">
          <a:avLst/>
        </a:prstGeom>
      </xdr:spPr>
    </xdr:pic>
    <xdr:clientData/>
  </xdr:twoCellAnchor>
  <xdr:twoCellAnchor>
    <xdr:from>
      <xdr:col>2</xdr:col>
      <xdr:colOff>679450</xdr:colOff>
      <xdr:row>0</xdr:row>
      <xdr:rowOff>19050</xdr:rowOff>
    </xdr:from>
    <xdr:to>
      <xdr:col>5</xdr:col>
      <xdr:colOff>803889</xdr:colOff>
      <xdr:row>4</xdr:row>
      <xdr:rowOff>158223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187950" y="19050"/>
          <a:ext cx="2639039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" name="Gruppieren 10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2" cy="533405"/>
                <a:chOff x="6553200" y="374273"/>
                <a:chExt cx="1200152" cy="533405"/>
              </a:xfrm>
              <a:grpFill/>
            </xdr:grpSpPr>
            <xdr:sp macro="" textlink="">
              <xdr:nvSpPr>
                <xdr:cNvPr id="2052" name="Option Button 4" hidden="1">
                  <a:extLst>
                    <a:ext uri="{63B3BB69-23CF-44E3-9099-C40C66FF867C}">
                      <a14:compatExt spid="_x0000_s2052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053" name="Option Button 5" hidden="1">
                  <a:extLst>
                    <a:ext uri="{63B3BB69-23CF-44E3-9099-C40C66FF867C}">
                      <a14:compatExt spid="_x0000_s2053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054" name="Option Button 6" hidden="1">
                  <a:extLst>
                    <a:ext uri="{63B3BB69-23CF-44E3-9099-C40C66FF867C}">
                      <a14:compatExt spid="_x0000_s2054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workbookViewId="0"/>
  </sheetViews>
  <sheetFormatPr baseColWidth="10" defaultColWidth="11.453125" defaultRowHeight="12.5" x14ac:dyDescent="0.25"/>
  <cols>
    <col min="1" max="1" width="19.81640625" style="1" customWidth="1"/>
    <col min="2" max="2" width="46.453125" style="1" customWidth="1"/>
    <col min="3" max="26" width="12" style="1" customWidth="1"/>
    <col min="27" max="16384" width="11.453125" style="1"/>
  </cols>
  <sheetData>
    <row r="1" spans="1:26" s="2" customFormat="1" x14ac:dyDescent="0.25"/>
    <row r="2" spans="1:26" s="2" customFormat="1" ht="15.5" x14ac:dyDescent="0.35">
      <c r="B2" s="3"/>
      <c r="C2" s="1"/>
      <c r="D2" s="1"/>
    </row>
    <row r="3" spans="1:26" s="2" customFormat="1" ht="15.5" x14ac:dyDescent="0.35">
      <c r="B3" s="3"/>
      <c r="C3" s="1"/>
      <c r="D3" s="1"/>
    </row>
    <row r="4" spans="1:26" s="2" customFormat="1" ht="15.5" x14ac:dyDescent="0.35">
      <c r="B4" s="3"/>
      <c r="C4" s="1"/>
      <c r="D4" s="1"/>
    </row>
    <row r="5" spans="1:26" s="2" customFormat="1" x14ac:dyDescent="0.25"/>
    <row r="6" spans="1:26" s="2" customFormat="1" x14ac:dyDescent="0.25"/>
    <row r="7" spans="1:26" s="2" customFormat="1" ht="15.75" customHeight="1" x14ac:dyDescent="0.35">
      <c r="A7" s="118" t="str">
        <f>VLOOKUP("&lt;Fachbereich&gt;",Uebersetzungen!$B$3:$E$200,Uebersetzungen!$B$2+1,FALSE)</f>
        <v>Daten &amp; Statistik</v>
      </c>
      <c r="B7" s="118"/>
      <c r="C7" s="4"/>
      <c r="D7" s="4"/>
      <c r="E7" s="4"/>
      <c r="F7" s="4"/>
      <c r="G7" s="4"/>
      <c r="H7" s="4"/>
    </row>
    <row r="8" spans="1:26" s="2" customFormat="1" x14ac:dyDescent="0.25"/>
    <row r="9" spans="1:26" s="8" customFormat="1" ht="17.5" x14ac:dyDescent="0.3">
      <c r="A9" s="32" t="str">
        <f>VLOOKUP("&lt;Titel&gt;",Uebersetzungen!$B$3:$E$200,Uebersetzungen!$B$2+1,FALSE)</f>
        <v>Arbeitsmarktstatus nach Kanton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26" s="8" customFormat="1" ht="14" x14ac:dyDescent="0.3">
      <c r="A10" s="33" t="str">
        <f>VLOOKUP("&lt;UTitel&gt;",Uebersetzungen!$B$3:$E$200,Uebersetzungen!$B$2+1,FALSE)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26" s="8" customFormat="1" ht="14.5" thickBot="1" x14ac:dyDescent="0.35">
      <c r="A11" s="33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26" ht="18" thickBot="1" x14ac:dyDescent="0.4">
      <c r="C12" s="109">
        <v>2022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39" customHeight="1" thickBot="1" x14ac:dyDescent="0.3">
      <c r="A13" s="10"/>
      <c r="B13" s="16"/>
      <c r="C13" s="106" t="str">
        <f>VLOOKUP("&lt;SpaltenTitel_1&gt;",Uebersetzungen!$B$3:$E$200,Uebersetzungen!$B$2+1,FALSE)</f>
        <v>Total</v>
      </c>
      <c r="D13" s="117"/>
      <c r="E13" s="106" t="str">
        <f>VLOOKUP("&lt;SpaltenTitel_2&gt;",Uebersetzungen!$B$3:$E$200,Uebersetzungen!$B$2+1,FALSE)</f>
        <v>Erwerbspersonen</v>
      </c>
      <c r="F13" s="117"/>
      <c r="G13" s="106" t="str">
        <f>VLOOKUP("&lt;SpaltenTitel_3&gt;",Uebersetzungen!$B$3:$E$200,Uebersetzungen!$B$2+1,FALSE)</f>
        <v>Erwerbstätige</v>
      </c>
      <c r="H13" s="117"/>
      <c r="I13" s="106" t="str">
        <f>VLOOKUP("&lt;SpaltenTitel_4&gt;",Uebersetzungen!$B$3:$E$200,Uebersetzungen!$B$2+1,FALSE)</f>
        <v>Vollzeiterwerbstätige (90-100%)</v>
      </c>
      <c r="J13" s="117"/>
      <c r="K13" s="106" t="str">
        <f>VLOOKUP("&lt;SpaltenTitel_5&gt;",Uebersetzungen!$B$3:$E$200,Uebersetzungen!$B$2+1,FALSE)</f>
        <v>Teilzeiterwerbstätige I (70-89%)</v>
      </c>
      <c r="L13" s="117"/>
      <c r="M13" s="106" t="str">
        <f>VLOOKUP("&lt;SpaltenTitel_6&gt;",Uebersetzungen!$B$3:$E$200,Uebersetzungen!$B$2+1,FALSE)</f>
        <v>Teilzeiterwerbstätige II (50-69%)</v>
      </c>
      <c r="N13" s="117"/>
      <c r="O13" s="106" t="str">
        <f>VLOOKUP("&lt;SpaltenTitel_7&gt;",Uebersetzungen!$B$3:$E$200,Uebersetzungen!$B$2+1,FALSE)</f>
        <v>Teilzeiterwerbstätige III (weniger als 50%)</v>
      </c>
      <c r="P13" s="117"/>
      <c r="Q13" s="106" t="str">
        <f>VLOOKUP("&lt;SpaltenTitel_8&gt;",Uebersetzungen!$B$3:$E$200,Uebersetzungen!$B$2+1,FALSE)</f>
        <v>Erwerbslose</v>
      </c>
      <c r="R13" s="117"/>
      <c r="S13" s="106" t="str">
        <f>VLOOKUP("&lt;SpaltenTitel_9&gt;",Uebersetzungen!$B$3:$E$200,Uebersetzungen!$B$2+1,FALSE)</f>
        <v>Nichterwerbspersonen in Ausbildung</v>
      </c>
      <c r="T13" s="117"/>
      <c r="U13" s="106" t="str">
        <f>VLOOKUP("&lt;SpaltenTitel_10&gt;",Uebersetzungen!$B$3:$E$200,Uebersetzungen!$B$2+1,FALSE)</f>
        <v>Hausfrauen/Hausmänner</v>
      </c>
      <c r="V13" s="108"/>
      <c r="W13" s="106" t="str">
        <f>VLOOKUP("&lt;SpaltenTitel_11&gt;",Uebersetzungen!$B$3:$E$200,Uebersetzungen!$B$2+1,FALSE)</f>
        <v>Rentner/innen (AHV, IV)</v>
      </c>
      <c r="X13" s="107"/>
      <c r="Y13" s="108" t="str">
        <f>VLOOKUP("&lt;SpaltenTitel_12&gt;",Uebersetzungen!$B$3:$E$200,Uebersetzungen!$B$2+1,FALSE)</f>
        <v>Andere Nichterwerbspersonen</v>
      </c>
      <c r="Z13" s="107"/>
    </row>
    <row r="14" spans="1:26" ht="39.75" customHeight="1" thickBot="1" x14ac:dyDescent="0.3">
      <c r="A14" s="34"/>
      <c r="B14" s="35"/>
      <c r="C14" s="80" t="str">
        <f>VLOOKUP("&lt;SpaltenTitel_1.1&gt;",Uebersetzungen!$B$3:$E$200,Uebersetzungen!$B$2+1,FALSE)</f>
        <v>Anzahl Personen</v>
      </c>
      <c r="D14" s="81" t="str">
        <f>VLOOKUP("&lt;SpaltenTitel_1.2&gt;",Uebersetzungen!$B$3:$E$200,Uebersetzungen!$B$2+1,FALSE)</f>
        <v>Vertrauens- intervall:          ± (in %)</v>
      </c>
      <c r="E14" s="80" t="str">
        <f>VLOOKUP("&lt;SpaltenTitel_1.1&gt;",Uebersetzungen!$B$3:$E$200,Uebersetzungen!$B$2+1,FALSE)</f>
        <v>Anzahl Personen</v>
      </c>
      <c r="F14" s="81" t="str">
        <f>VLOOKUP("&lt;SpaltenTitel_1.2&gt;",Uebersetzungen!$B$3:$E$200,Uebersetzungen!$B$2+1,FALSE)</f>
        <v>Vertrauens- intervall:          ± (in %)</v>
      </c>
      <c r="G14" s="80" t="str">
        <f>VLOOKUP("&lt;SpaltenTitel_1.1&gt;",Uebersetzungen!$B$3:$E$200,Uebersetzungen!$B$2+1,FALSE)</f>
        <v>Anzahl Personen</v>
      </c>
      <c r="H14" s="81" t="str">
        <f>VLOOKUP("&lt;SpaltenTitel_1.2&gt;",Uebersetzungen!$B$3:$E$200,Uebersetzungen!$B$2+1,FALSE)</f>
        <v>Vertrauens- intervall:          ± (in %)</v>
      </c>
      <c r="I14" s="80" t="str">
        <f>VLOOKUP("&lt;SpaltenTitel_1.1&gt;",Uebersetzungen!$B$3:$E$200,Uebersetzungen!$B$2+1,FALSE)</f>
        <v>Anzahl Personen</v>
      </c>
      <c r="J14" s="81" t="str">
        <f>VLOOKUP("&lt;SpaltenTitel_1.2&gt;",Uebersetzungen!$B$3:$E$200,Uebersetzungen!$B$2+1,FALSE)</f>
        <v>Vertrauens- intervall:          ± (in %)</v>
      </c>
      <c r="K14" s="80" t="str">
        <f>VLOOKUP("&lt;SpaltenTitel_1.1&gt;",Uebersetzungen!$B$3:$E$200,Uebersetzungen!$B$2+1,FALSE)</f>
        <v>Anzahl Personen</v>
      </c>
      <c r="L14" s="81" t="str">
        <f>VLOOKUP("&lt;SpaltenTitel_1.2&gt;",Uebersetzungen!$B$3:$E$200,Uebersetzungen!$B$2+1,FALSE)</f>
        <v>Vertrauens- intervall:          ± (in %)</v>
      </c>
      <c r="M14" s="80" t="str">
        <f>VLOOKUP("&lt;SpaltenTitel_1.1&gt;",Uebersetzungen!$B$3:$E$200,Uebersetzungen!$B$2+1,FALSE)</f>
        <v>Anzahl Personen</v>
      </c>
      <c r="N14" s="81" t="str">
        <f>VLOOKUP("&lt;SpaltenTitel_1.2&gt;",Uebersetzungen!$B$3:$E$200,Uebersetzungen!$B$2+1,FALSE)</f>
        <v>Vertrauens- intervall:          ± (in %)</v>
      </c>
      <c r="O14" s="80" t="str">
        <f>VLOOKUP("&lt;SpaltenTitel_1.1&gt;",Uebersetzungen!$B$3:$E$200,Uebersetzungen!$B$2+1,FALSE)</f>
        <v>Anzahl Personen</v>
      </c>
      <c r="P14" s="81" t="str">
        <f>VLOOKUP("&lt;SpaltenTitel_1.2&gt;",Uebersetzungen!$B$3:$E$200,Uebersetzungen!$B$2+1,FALSE)</f>
        <v>Vertrauens- intervall:          ± (in %)</v>
      </c>
      <c r="Q14" s="80" t="str">
        <f>VLOOKUP("&lt;SpaltenTitel_1.1&gt;",Uebersetzungen!$B$3:$E$200,Uebersetzungen!$B$2+1,FALSE)</f>
        <v>Anzahl Personen</v>
      </c>
      <c r="R14" s="81" t="str">
        <f>VLOOKUP("&lt;SpaltenTitel_1.2&gt;",Uebersetzungen!$B$3:$E$200,Uebersetzungen!$B$2+1,FALSE)</f>
        <v>Vertrauens- intervall:          ± (in %)</v>
      </c>
      <c r="S14" s="80" t="str">
        <f>VLOOKUP("&lt;SpaltenTitel_1.1&gt;",Uebersetzungen!$B$3:$E$200,Uebersetzungen!$B$2+1,FALSE)</f>
        <v>Anzahl Personen</v>
      </c>
      <c r="T14" s="81" t="str">
        <f>VLOOKUP("&lt;SpaltenTitel_1.2&gt;",Uebersetzungen!$B$3:$E$200,Uebersetzungen!$B$2+1,FALSE)</f>
        <v>Vertrauens- intervall:          ± (in %)</v>
      </c>
      <c r="U14" s="80" t="str">
        <f>VLOOKUP("&lt;SpaltenTitel_1.1&gt;",Uebersetzungen!$B$3:$E$200,Uebersetzungen!$B$2+1,FALSE)</f>
        <v>Anzahl Personen</v>
      </c>
      <c r="V14" s="82" t="str">
        <f>VLOOKUP("&lt;SpaltenTitel_1.2&gt;",Uebersetzungen!$B$3:$E$200,Uebersetzungen!$B$2+1,FALSE)</f>
        <v>Vertrauens- intervall:          ± (in %)</v>
      </c>
      <c r="W14" s="83" t="s">
        <v>0</v>
      </c>
      <c r="X14" s="84" t="s">
        <v>1</v>
      </c>
      <c r="Y14" s="85" t="s">
        <v>0</v>
      </c>
      <c r="Z14" s="86" t="s">
        <v>1</v>
      </c>
    </row>
    <row r="15" spans="1:26" ht="12" customHeight="1" x14ac:dyDescent="0.25">
      <c r="A15" s="115" t="str">
        <f>VLOOKUP("&lt;Zeilentitel_1&gt;",Uebersetzungen!$B$3:$E$199,Uebersetzungen!$B$2+1,FALSE)</f>
        <v>Total</v>
      </c>
      <c r="B15" s="116"/>
      <c r="C15" s="18">
        <v>7307819.0000000456</v>
      </c>
      <c r="D15" s="26">
        <v>5.3159065886884897E-2</v>
      </c>
      <c r="E15" s="29">
        <v>4686630.4011998577</v>
      </c>
      <c r="F15" s="19">
        <v>0.29536999745590725</v>
      </c>
      <c r="G15" s="29">
        <v>4490177.9227942079</v>
      </c>
      <c r="H15" s="26">
        <v>0.30996787899106748</v>
      </c>
      <c r="I15" s="20">
        <v>3069064.5764436545</v>
      </c>
      <c r="J15" s="26">
        <v>0.4605504794594506</v>
      </c>
      <c r="K15" s="29">
        <v>529262.26885850949</v>
      </c>
      <c r="L15" s="19">
        <v>1.3580262496070352</v>
      </c>
      <c r="M15" s="29">
        <v>442382.49993965199</v>
      </c>
      <c r="N15" s="26">
        <v>1.5092517125375331</v>
      </c>
      <c r="O15" s="20">
        <v>449468.57755239413</v>
      </c>
      <c r="P15" s="26">
        <v>1.5080424039339932</v>
      </c>
      <c r="Q15" s="29">
        <v>196452.47840564835</v>
      </c>
      <c r="R15" s="19">
        <v>2.3615390350034087</v>
      </c>
      <c r="S15" s="29">
        <v>432509.24897151039</v>
      </c>
      <c r="T15" s="26">
        <v>1.5825603660296288</v>
      </c>
      <c r="U15" s="20">
        <v>256421.10761746299</v>
      </c>
      <c r="V15" s="26">
        <v>2.0402094337712047</v>
      </c>
      <c r="W15" s="29">
        <v>1739196.8295283057</v>
      </c>
      <c r="X15" s="79">
        <v>0.65198307085583884</v>
      </c>
      <c r="Y15" s="29">
        <v>193061.41268290882</v>
      </c>
      <c r="Z15" s="74">
        <v>2.4213125011250276</v>
      </c>
    </row>
    <row r="16" spans="1:26" x14ac:dyDescent="0.25">
      <c r="A16" s="112" t="str">
        <f>VLOOKUP("&lt;Zeilentitel_2&gt;",Uebersetzungen!$B$3:$E$199,Uebersetzungen!$B$2+1,FALSE)</f>
        <v>Kanton</v>
      </c>
      <c r="B16" s="90" t="str">
        <f>VLOOKUP("&lt;Zeilentitel_2.1&gt;",Uebersetzungen!$B$3:$E$199,Uebersetzungen!$B$2+1,FALSE)</f>
        <v>Zürich</v>
      </c>
      <c r="C16" s="91">
        <v>1312405.0000000061</v>
      </c>
      <c r="D16" s="92">
        <v>0.14765637313586868</v>
      </c>
      <c r="E16" s="93">
        <v>891444.82343934744</v>
      </c>
      <c r="F16" s="94">
        <v>0.72081417892578703</v>
      </c>
      <c r="G16" s="93">
        <v>859634.78245928627</v>
      </c>
      <c r="H16" s="92">
        <v>0.75555895755710512</v>
      </c>
      <c r="I16" s="95">
        <v>600959.23366273672</v>
      </c>
      <c r="J16" s="92">
        <v>1.1264844446877442</v>
      </c>
      <c r="K16" s="93">
        <v>103530.22603596779</v>
      </c>
      <c r="L16" s="94">
        <v>3.4075518875340731</v>
      </c>
      <c r="M16" s="93">
        <v>77465.237455831273</v>
      </c>
      <c r="N16" s="92">
        <v>4.0299248144037998</v>
      </c>
      <c r="O16" s="95">
        <v>77680.085304750392</v>
      </c>
      <c r="P16" s="92">
        <v>4.0669251723902677</v>
      </c>
      <c r="Q16" s="93">
        <v>31810.04098006192</v>
      </c>
      <c r="R16" s="94">
        <v>6.7816147617274574</v>
      </c>
      <c r="S16" s="93">
        <v>69613.877518840483</v>
      </c>
      <c r="T16" s="92">
        <v>4.5872010952452102</v>
      </c>
      <c r="U16" s="95">
        <v>44239.607291289598</v>
      </c>
      <c r="V16" s="92">
        <v>5.6091826586760964</v>
      </c>
      <c r="W16" s="93">
        <v>273143.19244183821</v>
      </c>
      <c r="X16" s="94">
        <v>1.8712844818349244</v>
      </c>
      <c r="Y16" s="93">
        <v>33963.499308689359</v>
      </c>
      <c r="Z16" s="96">
        <v>6.5902739142102744</v>
      </c>
    </row>
    <row r="17" spans="1:26" x14ac:dyDescent="0.25">
      <c r="A17" s="113"/>
      <c r="B17" s="50" t="str">
        <f>VLOOKUP("&lt;Zeilentitel_2.2&gt;",Uebersetzungen!$B$3:$E$199,Uebersetzungen!$B$2+1,FALSE)</f>
        <v>Bern</v>
      </c>
      <c r="C17" s="21">
        <v>879250.0000000213</v>
      </c>
      <c r="D17" s="27">
        <v>0.14502279620250785</v>
      </c>
      <c r="E17" s="30">
        <v>566405.79871133831</v>
      </c>
      <c r="F17" s="22">
        <v>0.92969125687488707</v>
      </c>
      <c r="G17" s="30">
        <v>550902.32090839499</v>
      </c>
      <c r="H17" s="27">
        <v>0.96050767592844122</v>
      </c>
      <c r="I17" s="23">
        <v>350616.46736319584</v>
      </c>
      <c r="J17" s="27">
        <v>1.5263513532124611</v>
      </c>
      <c r="K17" s="30">
        <v>74158.793313455157</v>
      </c>
      <c r="L17" s="22">
        <v>3.9549027263003222</v>
      </c>
      <c r="M17" s="30">
        <v>62250.36806710127</v>
      </c>
      <c r="N17" s="27">
        <v>4.3875799194801042</v>
      </c>
      <c r="O17" s="23">
        <v>63876.692164641994</v>
      </c>
      <c r="P17" s="27">
        <v>4.3471475812439326</v>
      </c>
      <c r="Q17" s="30">
        <v>15503.477802943245</v>
      </c>
      <c r="R17" s="22">
        <v>9.6355127134474028</v>
      </c>
      <c r="S17" s="30">
        <v>42138.896301889123</v>
      </c>
      <c r="T17" s="27">
        <v>5.7334665519461181</v>
      </c>
      <c r="U17" s="23">
        <v>23460.370481667538</v>
      </c>
      <c r="V17" s="27">
        <v>7.5064992653477622</v>
      </c>
      <c r="W17" s="30">
        <v>226615.35307444376</v>
      </c>
      <c r="X17" s="22">
        <v>1.9714316557354992</v>
      </c>
      <c r="Y17" s="30">
        <v>20629.581430683367</v>
      </c>
      <c r="Z17" s="75">
        <v>8.3275054567119771</v>
      </c>
    </row>
    <row r="18" spans="1:26" x14ac:dyDescent="0.25">
      <c r="A18" s="113"/>
      <c r="B18" s="50" t="str">
        <f>VLOOKUP("&lt;Zeilentitel_2.3&gt;",Uebersetzungen!$B$3:$E$199,Uebersetzungen!$B$2+1,FALSE)</f>
        <v>Luzern</v>
      </c>
      <c r="C18" s="21">
        <v>352203.00000000128</v>
      </c>
      <c r="D18" s="27">
        <v>0.17401157788364699</v>
      </c>
      <c r="E18" s="30">
        <v>237041.65694559156</v>
      </c>
      <c r="F18" s="22">
        <v>0.97126994080678908</v>
      </c>
      <c r="G18" s="30">
        <v>230504.76489028952</v>
      </c>
      <c r="H18" s="27">
        <v>1.0060356375522066</v>
      </c>
      <c r="I18" s="23">
        <v>156237.93303064216</v>
      </c>
      <c r="J18" s="27">
        <v>1.5448515319088971</v>
      </c>
      <c r="K18" s="30">
        <v>24476.457547734717</v>
      </c>
      <c r="L18" s="22">
        <v>4.8439011566083057</v>
      </c>
      <c r="M18" s="30">
        <v>23702.393153196113</v>
      </c>
      <c r="N18" s="27">
        <v>4.9370101311542802</v>
      </c>
      <c r="O18" s="23">
        <v>26087.981158716222</v>
      </c>
      <c r="P18" s="27">
        <v>4.6977726328250968</v>
      </c>
      <c r="Q18" s="30">
        <v>6536.892055301998</v>
      </c>
      <c r="R18" s="22">
        <v>10.293990773212602</v>
      </c>
      <c r="S18" s="30">
        <v>16413.47336752597</v>
      </c>
      <c r="T18" s="27">
        <v>6.3740540099823404</v>
      </c>
      <c r="U18" s="23">
        <v>11414.952601789997</v>
      </c>
      <c r="V18" s="27">
        <v>7.4492117938942837</v>
      </c>
      <c r="W18" s="30">
        <v>78761.569582832803</v>
      </c>
      <c r="X18" s="22">
        <v>2.35251336153223</v>
      </c>
      <c r="Y18" s="30">
        <v>8571.3475022613202</v>
      </c>
      <c r="Z18" s="75">
        <v>8.8758987687213207</v>
      </c>
    </row>
    <row r="19" spans="1:26" x14ac:dyDescent="0.25">
      <c r="A19" s="113"/>
      <c r="B19" s="50" t="str">
        <f>VLOOKUP("&lt;Zeilentitel_2.4&gt;",Uebersetzungen!$B$3:$E$199,Uebersetzungen!$B$2+1,FALSE)</f>
        <v>Uri</v>
      </c>
      <c r="C19" s="21">
        <v>31074.999999999913</v>
      </c>
      <c r="D19" s="27">
        <v>0.66752093390522305</v>
      </c>
      <c r="E19" s="30">
        <v>19384.785582808163</v>
      </c>
      <c r="F19" s="22">
        <v>5.020871463457981</v>
      </c>
      <c r="G19" s="30">
        <v>19157.341664405296</v>
      </c>
      <c r="H19" s="27">
        <v>5.0968908099207102</v>
      </c>
      <c r="I19" s="23">
        <v>13283.984188218497</v>
      </c>
      <c r="J19" s="27">
        <v>7.4250092462900446</v>
      </c>
      <c r="K19" s="31">
        <v>1496.9177023489908</v>
      </c>
      <c r="L19" s="25">
        <v>28.224268089266602</v>
      </c>
      <c r="M19" s="30">
        <v>1602.3741432106085</v>
      </c>
      <c r="N19" s="27">
        <v>26.964746282848775</v>
      </c>
      <c r="O19" s="23">
        <v>2774.0656306272072</v>
      </c>
      <c r="P19" s="27">
        <v>20.029611617149413</v>
      </c>
      <c r="Q19" s="31">
        <v>227.44391840286815</v>
      </c>
      <c r="R19" s="25">
        <v>73.320158086988883</v>
      </c>
      <c r="S19" s="31">
        <v>1207.0861717788678</v>
      </c>
      <c r="T19" s="28">
        <v>30.99751957292564</v>
      </c>
      <c r="U19" s="24">
        <v>1579.2154413625674</v>
      </c>
      <c r="V19" s="28">
        <v>28.218218195476261</v>
      </c>
      <c r="W19" s="30">
        <v>8410.9404852199332</v>
      </c>
      <c r="X19" s="22">
        <v>9.9311238756010205</v>
      </c>
      <c r="Y19" s="31">
        <v>492.97231883037011</v>
      </c>
      <c r="Z19" s="76">
        <v>51.685709080857762</v>
      </c>
    </row>
    <row r="20" spans="1:26" x14ac:dyDescent="0.25">
      <c r="A20" s="113"/>
      <c r="B20" s="50" t="str">
        <f>VLOOKUP("&lt;Zeilentitel_2.5&gt;",Uebersetzungen!$B$3:$E$199,Uebersetzungen!$B$2+1,FALSE)</f>
        <v>Schwyz</v>
      </c>
      <c r="C20" s="21">
        <v>138672.00000000131</v>
      </c>
      <c r="D20" s="27">
        <v>0.4455797109041193</v>
      </c>
      <c r="E20" s="30">
        <v>92569.775174427283</v>
      </c>
      <c r="F20" s="22">
        <v>2.2285697666396698</v>
      </c>
      <c r="G20" s="30">
        <v>90281.461952088997</v>
      </c>
      <c r="H20" s="27">
        <v>2.2980507087000173</v>
      </c>
      <c r="I20" s="23">
        <v>63739.353028196878</v>
      </c>
      <c r="J20" s="27">
        <v>3.370574924020973</v>
      </c>
      <c r="K20" s="30">
        <v>8508.6440613487321</v>
      </c>
      <c r="L20" s="22">
        <v>11.813521842880364</v>
      </c>
      <c r="M20" s="30">
        <v>7610.1619030061984</v>
      </c>
      <c r="N20" s="27">
        <v>12.787007258077507</v>
      </c>
      <c r="O20" s="23">
        <v>10423.30295953717</v>
      </c>
      <c r="P20" s="27">
        <v>10.642015027070387</v>
      </c>
      <c r="Q20" s="30">
        <v>2288.3132223382613</v>
      </c>
      <c r="R20" s="22">
        <v>24.991352249671657</v>
      </c>
      <c r="S20" s="30">
        <v>5988.3233690844572</v>
      </c>
      <c r="T20" s="27">
        <v>14.59324070073356</v>
      </c>
      <c r="U20" s="23">
        <v>6280.7919740993411</v>
      </c>
      <c r="V20" s="27">
        <v>14.688728062607893</v>
      </c>
      <c r="W20" s="30">
        <v>30536.677170980867</v>
      </c>
      <c r="X20" s="22">
        <v>5.5004173763953901</v>
      </c>
      <c r="Y20" s="30">
        <v>3296.4323114094104</v>
      </c>
      <c r="Z20" s="75">
        <v>20.45488967652717</v>
      </c>
    </row>
    <row r="21" spans="1:26" x14ac:dyDescent="0.25">
      <c r="A21" s="113"/>
      <c r="B21" s="50" t="str">
        <f>VLOOKUP("&lt;Zeilentitel_2.6&gt;",Uebersetzungen!$B$3:$E$199,Uebersetzungen!$B$2+1,FALSE)</f>
        <v>Obwalden</v>
      </c>
      <c r="C21" s="21">
        <v>32326.999999999891</v>
      </c>
      <c r="D21" s="27">
        <v>0.79098017845415769</v>
      </c>
      <c r="E21" s="30">
        <v>21217.146660502513</v>
      </c>
      <c r="F21" s="22">
        <v>4.5139384777283738</v>
      </c>
      <c r="G21" s="30">
        <v>20924.912842699086</v>
      </c>
      <c r="H21" s="27">
        <v>4.5918183551952438</v>
      </c>
      <c r="I21" s="23">
        <v>14150.594815613946</v>
      </c>
      <c r="J21" s="27">
        <v>7.1930841508842267</v>
      </c>
      <c r="K21" s="30">
        <v>2022.6422389325803</v>
      </c>
      <c r="L21" s="22">
        <v>23.156492891925875</v>
      </c>
      <c r="M21" s="30">
        <v>2112.4995338390336</v>
      </c>
      <c r="N21" s="27">
        <v>22.753129210981008</v>
      </c>
      <c r="O21" s="23">
        <v>2639.1762543135246</v>
      </c>
      <c r="P21" s="27">
        <v>20.241369492039187</v>
      </c>
      <c r="Q21" s="30">
        <v>292.23381780342834</v>
      </c>
      <c r="R21" s="22">
        <v>69.097158472142411</v>
      </c>
      <c r="S21" s="31">
        <v>1744.0151204411491</v>
      </c>
      <c r="T21" s="28">
        <v>27.32675375389751</v>
      </c>
      <c r="U21" s="24">
        <v>956.35861222449762</v>
      </c>
      <c r="V21" s="28">
        <v>34.891445023847588</v>
      </c>
      <c r="W21" s="30">
        <v>7769.332053623677</v>
      </c>
      <c r="X21" s="22">
        <v>11.182851199495811</v>
      </c>
      <c r="Y21" s="31">
        <v>640.14755320805739</v>
      </c>
      <c r="Z21" s="76">
        <v>44.313600929855596</v>
      </c>
    </row>
    <row r="22" spans="1:26" x14ac:dyDescent="0.25">
      <c r="A22" s="113"/>
      <c r="B22" s="50" t="str">
        <f>VLOOKUP("&lt;Zeilentitel_2.7&gt;",Uebersetzungen!$B$3:$E$199,Uebersetzungen!$B$2+1,FALSE)</f>
        <v>Nidwalden</v>
      </c>
      <c r="C22" s="21">
        <v>37829.000000000204</v>
      </c>
      <c r="D22" s="27">
        <v>0.69384402512893151</v>
      </c>
      <c r="E22" s="30">
        <v>24679.669754512503</v>
      </c>
      <c r="F22" s="22">
        <v>4.4437568888896095</v>
      </c>
      <c r="G22" s="30">
        <v>24069.828037376115</v>
      </c>
      <c r="H22" s="27">
        <v>4.5770210431184273</v>
      </c>
      <c r="I22" s="23">
        <v>17051.733852165969</v>
      </c>
      <c r="J22" s="27">
        <v>6.6879135223875812</v>
      </c>
      <c r="K22" s="30">
        <v>1965.1306427151744</v>
      </c>
      <c r="L22" s="22">
        <v>25.620785699820782</v>
      </c>
      <c r="M22" s="30">
        <v>2372.9532342486077</v>
      </c>
      <c r="N22" s="27">
        <v>23.091447940954591</v>
      </c>
      <c r="O22" s="23">
        <v>2680.0103082463688</v>
      </c>
      <c r="P22" s="27">
        <v>21.573054919622827</v>
      </c>
      <c r="Q22" s="31">
        <v>609.84171713638557</v>
      </c>
      <c r="R22" s="25">
        <v>50.356321458060336</v>
      </c>
      <c r="S22" s="30">
        <v>1490.1753014179362</v>
      </c>
      <c r="T22" s="27">
        <v>29.063271850741529</v>
      </c>
      <c r="U22" s="24">
        <v>1210.7898805223326</v>
      </c>
      <c r="V22" s="28">
        <v>33.993662144914381</v>
      </c>
      <c r="W22" s="30">
        <v>9611.8374191075236</v>
      </c>
      <c r="X22" s="22">
        <v>10.342035048246592</v>
      </c>
      <c r="Y22" s="31">
        <v>836.52764443990031</v>
      </c>
      <c r="Z22" s="76">
        <v>41.539664822882493</v>
      </c>
    </row>
    <row r="23" spans="1:26" x14ac:dyDescent="0.25">
      <c r="A23" s="113"/>
      <c r="B23" s="50" t="str">
        <f>VLOOKUP("&lt;Zeilentitel_2.8&gt;",Uebersetzungen!$B$3:$E$199,Uebersetzungen!$B$2+1,FALSE)</f>
        <v>Glarus</v>
      </c>
      <c r="C23" s="21">
        <v>34613.000000000182</v>
      </c>
      <c r="D23" s="27">
        <v>1.104344396231375</v>
      </c>
      <c r="E23" s="30">
        <v>21811.270947214769</v>
      </c>
      <c r="F23" s="22">
        <v>5.2675701492796296</v>
      </c>
      <c r="G23" s="30">
        <v>21460.773338200474</v>
      </c>
      <c r="H23" s="27">
        <v>5.363267188673098</v>
      </c>
      <c r="I23" s="23">
        <v>15043.832344558712</v>
      </c>
      <c r="J23" s="27">
        <v>7.8962803486282969</v>
      </c>
      <c r="K23" s="30">
        <v>2175.5147888765896</v>
      </c>
      <c r="L23" s="22">
        <v>25.120070155347332</v>
      </c>
      <c r="M23" s="30">
        <v>2020.2463647900042</v>
      </c>
      <c r="N23" s="27">
        <v>24.799613004510299</v>
      </c>
      <c r="O23" s="23">
        <v>2221.1798399751683</v>
      </c>
      <c r="P23" s="27">
        <v>24.163419237572079</v>
      </c>
      <c r="Q23" s="31">
        <v>350.49760901429471</v>
      </c>
      <c r="R23" s="25">
        <v>68.872712530584508</v>
      </c>
      <c r="S23" s="31">
        <v>1589.3237959126293</v>
      </c>
      <c r="T23" s="28">
        <v>31.720589098030043</v>
      </c>
      <c r="U23" s="24">
        <v>1144.7787466368832</v>
      </c>
      <c r="V23" s="28">
        <v>33.982450795495453</v>
      </c>
      <c r="W23" s="30">
        <v>9122.4836867671402</v>
      </c>
      <c r="X23" s="22">
        <v>10.582277098343186</v>
      </c>
      <c r="Y23" s="31">
        <v>945.14282346875962</v>
      </c>
      <c r="Z23" s="76">
        <v>40.583626885142472</v>
      </c>
    </row>
    <row r="24" spans="1:26" x14ac:dyDescent="0.25">
      <c r="A24" s="113"/>
      <c r="B24" s="50" t="str">
        <f>VLOOKUP("&lt;Zeilentitel_2.9&gt;",Uebersetzungen!$B$3:$E$199,Uebersetzungen!$B$2+1,FALSE)</f>
        <v>Zug</v>
      </c>
      <c r="C24" s="21">
        <v>108988.00000000253</v>
      </c>
      <c r="D24" s="27">
        <v>0.31786915252124115</v>
      </c>
      <c r="E24" s="30">
        <v>72728.182914606106</v>
      </c>
      <c r="F24" s="22">
        <v>1.7666760905012981</v>
      </c>
      <c r="G24" s="30">
        <v>70255.264946625597</v>
      </c>
      <c r="H24" s="27">
        <v>1.8453198143162413</v>
      </c>
      <c r="I24" s="23">
        <v>50760.311084513422</v>
      </c>
      <c r="J24" s="27">
        <v>2.654652161719</v>
      </c>
      <c r="K24" s="30">
        <v>6518.5153360643508</v>
      </c>
      <c r="L24" s="22">
        <v>9.478144138235427</v>
      </c>
      <c r="M24" s="30">
        <v>6117.9220728067221</v>
      </c>
      <c r="N24" s="27">
        <v>9.8156130398894987</v>
      </c>
      <c r="O24" s="23">
        <v>6858.5164532410636</v>
      </c>
      <c r="P24" s="27">
        <v>9.1881506754876305</v>
      </c>
      <c r="Q24" s="30">
        <v>2472.917967980542</v>
      </c>
      <c r="R24" s="22">
        <v>16.601308745744998</v>
      </c>
      <c r="S24" s="30">
        <v>6399.9267121953826</v>
      </c>
      <c r="T24" s="27">
        <v>9.8725959294909327</v>
      </c>
      <c r="U24" s="23">
        <v>4590.3331811717271</v>
      </c>
      <c r="V24" s="27">
        <v>11.697950831482149</v>
      </c>
      <c r="W24" s="30">
        <v>22380.920924124897</v>
      </c>
      <c r="X24" s="22">
        <v>4.5284881058312028</v>
      </c>
      <c r="Y24" s="30">
        <v>2888.636267904425</v>
      </c>
      <c r="Z24" s="75">
        <v>15.09566110083024</v>
      </c>
    </row>
    <row r="25" spans="1:26" x14ac:dyDescent="0.25">
      <c r="A25" s="113"/>
      <c r="B25" s="50" t="str">
        <f>VLOOKUP("&lt;Zeilentitel_2.10&gt;",Uebersetzungen!$B$3:$E$199,Uebersetzungen!$B$2+1,FALSE)</f>
        <v>Freiburg</v>
      </c>
      <c r="C25" s="21">
        <v>273360.00000000017</v>
      </c>
      <c r="D25" s="27">
        <v>0.27095168172931339</v>
      </c>
      <c r="E25" s="30">
        <v>180431.00531662593</v>
      </c>
      <c r="F25" s="22">
        <v>1.6075564358950332</v>
      </c>
      <c r="G25" s="30">
        <v>172405.28958899796</v>
      </c>
      <c r="H25" s="27">
        <v>1.6977895403816803</v>
      </c>
      <c r="I25" s="23">
        <v>117785.24581568986</v>
      </c>
      <c r="J25" s="27">
        <v>2.560320558046151</v>
      </c>
      <c r="K25" s="30">
        <v>21097.973990159793</v>
      </c>
      <c r="L25" s="22">
        <v>7.3733633718205365</v>
      </c>
      <c r="M25" s="30">
        <v>18666.118716976558</v>
      </c>
      <c r="N25" s="27">
        <v>7.8994199643595335</v>
      </c>
      <c r="O25" s="23">
        <v>14855.951066171587</v>
      </c>
      <c r="P25" s="27">
        <v>9.0492755178724131</v>
      </c>
      <c r="Q25" s="30">
        <v>8025.7157276278631</v>
      </c>
      <c r="R25" s="22">
        <v>13.289365287228826</v>
      </c>
      <c r="S25" s="30">
        <v>18292.246679691998</v>
      </c>
      <c r="T25" s="27">
        <v>8.4877171945973657</v>
      </c>
      <c r="U25" s="23">
        <v>7775.2017965545274</v>
      </c>
      <c r="V25" s="27">
        <v>12.899518027319415</v>
      </c>
      <c r="W25" s="30">
        <v>60283.477072814523</v>
      </c>
      <c r="X25" s="22">
        <v>3.9251344394209915</v>
      </c>
      <c r="Y25" s="30">
        <v>6578.0691343134167</v>
      </c>
      <c r="Z25" s="75">
        <v>14.508329295214613</v>
      </c>
    </row>
    <row r="26" spans="1:26" x14ac:dyDescent="0.25">
      <c r="A26" s="113"/>
      <c r="B26" s="50" t="str">
        <f>VLOOKUP("&lt;Zeilentitel_2.11&gt;",Uebersetzungen!$B$3:$E$199,Uebersetzungen!$B$2+1,FALSE)</f>
        <v>Solothurn</v>
      </c>
      <c r="C26" s="21">
        <v>237079.9999999998</v>
      </c>
      <c r="D26" s="27">
        <v>0.33945140530503226</v>
      </c>
      <c r="E26" s="30">
        <v>148330.99535448791</v>
      </c>
      <c r="F26" s="22">
        <v>1.9178204089397153</v>
      </c>
      <c r="G26" s="30">
        <v>143830.47473329186</v>
      </c>
      <c r="H26" s="27">
        <v>1.9840857443256319</v>
      </c>
      <c r="I26" s="23">
        <v>97726.5829297452</v>
      </c>
      <c r="J26" s="27">
        <v>2.9255157576694204</v>
      </c>
      <c r="K26" s="30">
        <v>15865.022915458056</v>
      </c>
      <c r="L26" s="22">
        <v>8.904108614522853</v>
      </c>
      <c r="M26" s="30">
        <v>14763.339845159016</v>
      </c>
      <c r="N26" s="27">
        <v>9.2772290197207354</v>
      </c>
      <c r="O26" s="23">
        <v>15475.529042929706</v>
      </c>
      <c r="P26" s="27">
        <v>9.1017816262806388</v>
      </c>
      <c r="Q26" s="30">
        <v>4500.5206211960649</v>
      </c>
      <c r="R26" s="22">
        <v>18.31540814734954</v>
      </c>
      <c r="S26" s="30">
        <v>11944.841857712145</v>
      </c>
      <c r="T26" s="27">
        <v>10.820194618130248</v>
      </c>
      <c r="U26" s="23">
        <v>10205.474642134253</v>
      </c>
      <c r="V26" s="27">
        <v>11.701627059858442</v>
      </c>
      <c r="W26" s="30">
        <v>61223.319697137682</v>
      </c>
      <c r="X26" s="22">
        <v>3.8958112109258232</v>
      </c>
      <c r="Y26" s="30">
        <v>5375.3684485276663</v>
      </c>
      <c r="Z26" s="75">
        <v>16.688278038672806</v>
      </c>
    </row>
    <row r="27" spans="1:26" x14ac:dyDescent="0.25">
      <c r="A27" s="113"/>
      <c r="B27" s="50" t="str">
        <f>VLOOKUP("&lt;Zeilentitel_2.12&gt;",Uebersetzungen!$B$3:$E$199,Uebersetzungen!$B$2+1,FALSE)</f>
        <v>Basel-Stadt</v>
      </c>
      <c r="C27" s="21">
        <v>165064.00000000329</v>
      </c>
      <c r="D27" s="27">
        <v>0.4802279921465949</v>
      </c>
      <c r="E27" s="30">
        <v>101925.98833943336</v>
      </c>
      <c r="F27" s="22">
        <v>2.3673476506867539</v>
      </c>
      <c r="G27" s="30">
        <v>97131.080512297412</v>
      </c>
      <c r="H27" s="27">
        <v>2.4898038095333352</v>
      </c>
      <c r="I27" s="23">
        <v>63040.810820289953</v>
      </c>
      <c r="J27" s="27">
        <v>3.7502339181359869</v>
      </c>
      <c r="K27" s="30">
        <v>13831.188150987935</v>
      </c>
      <c r="L27" s="22">
        <v>9.6592987550174261</v>
      </c>
      <c r="M27" s="30">
        <v>10855.427058928148</v>
      </c>
      <c r="N27" s="27">
        <v>11.051250336906183</v>
      </c>
      <c r="O27" s="23">
        <v>9403.6544820914332</v>
      </c>
      <c r="P27" s="27">
        <v>12.113507446039614</v>
      </c>
      <c r="Q27" s="30">
        <v>4794.9078271359722</v>
      </c>
      <c r="R27" s="22">
        <v>18.216256279218133</v>
      </c>
      <c r="S27" s="30">
        <v>10191.29516759029</v>
      </c>
      <c r="T27" s="27">
        <v>11.95219178107714</v>
      </c>
      <c r="U27" s="23">
        <v>5828.7085705940062</v>
      </c>
      <c r="V27" s="27">
        <v>16.15510294979256</v>
      </c>
      <c r="W27" s="30">
        <v>41363.078929759038</v>
      </c>
      <c r="X27" s="22">
        <v>4.8750004544145416</v>
      </c>
      <c r="Y27" s="30">
        <v>5754.9289926265028</v>
      </c>
      <c r="Z27" s="75">
        <v>16.62175593154624</v>
      </c>
    </row>
    <row r="28" spans="1:26" x14ac:dyDescent="0.25">
      <c r="A28" s="113"/>
      <c r="B28" s="50" t="str">
        <f>VLOOKUP("&lt;Zeilentitel_2.13&gt;",Uebersetzungen!$B$3:$E$199,Uebersetzungen!$B$2+1,FALSE)</f>
        <v>Basel-Landschaft</v>
      </c>
      <c r="C28" s="21">
        <v>247484.99999999561</v>
      </c>
      <c r="D28" s="27">
        <v>0.30876322003813084</v>
      </c>
      <c r="E28" s="30">
        <v>148621.6524357149</v>
      </c>
      <c r="F28" s="22">
        <v>1.9345418674151098</v>
      </c>
      <c r="G28" s="30">
        <v>142516.05754963972</v>
      </c>
      <c r="H28" s="27">
        <v>2.0176134194973518</v>
      </c>
      <c r="I28" s="23">
        <v>93470.644780818475</v>
      </c>
      <c r="J28" s="27">
        <v>3.027633274207302</v>
      </c>
      <c r="K28" s="30">
        <v>17386.650866372918</v>
      </c>
      <c r="L28" s="22">
        <v>8.1930562636981126</v>
      </c>
      <c r="M28" s="30">
        <v>15761.671265141023</v>
      </c>
      <c r="N28" s="27">
        <v>8.6839466546046147</v>
      </c>
      <c r="O28" s="23">
        <v>15897.090637307287</v>
      </c>
      <c r="P28" s="27">
        <v>8.6934920090247747</v>
      </c>
      <c r="Q28" s="30">
        <v>6105.5948860751641</v>
      </c>
      <c r="R28" s="22">
        <v>15.50060639367552</v>
      </c>
      <c r="S28" s="30">
        <v>16002.283083145798</v>
      </c>
      <c r="T28" s="27">
        <v>9.1991980520665475</v>
      </c>
      <c r="U28" s="23">
        <v>8513.4966352071151</v>
      </c>
      <c r="V28" s="27">
        <v>12.28952634421533</v>
      </c>
      <c r="W28" s="30">
        <v>69155.236699148169</v>
      </c>
      <c r="X28" s="22">
        <v>3.5011801977477339</v>
      </c>
      <c r="Y28" s="30">
        <v>5192.3311467796848</v>
      </c>
      <c r="Z28" s="75">
        <v>16.507458170040962</v>
      </c>
    </row>
    <row r="29" spans="1:26" x14ac:dyDescent="0.25">
      <c r="A29" s="113"/>
      <c r="B29" s="50" t="str">
        <f>VLOOKUP("&lt;Zeilentitel_2.14&gt;",Uebersetzungen!$B$3:$E$199,Uebersetzungen!$B$2+1,FALSE)</f>
        <v>Schaffhausen</v>
      </c>
      <c r="C29" s="21">
        <v>71534.99999999968</v>
      </c>
      <c r="D29" s="27">
        <v>0.68399138623843603</v>
      </c>
      <c r="E29" s="30">
        <v>43585.376888788756</v>
      </c>
      <c r="F29" s="22">
        <v>3.6729880892694928</v>
      </c>
      <c r="G29" s="30">
        <v>41919.177617759386</v>
      </c>
      <c r="H29" s="27">
        <v>3.8220515613850363</v>
      </c>
      <c r="I29" s="23">
        <v>28765.528504401598</v>
      </c>
      <c r="J29" s="27">
        <v>5.5250405358250445</v>
      </c>
      <c r="K29" s="30">
        <v>4275.991957779871</v>
      </c>
      <c r="L29" s="22">
        <v>16.882112116655385</v>
      </c>
      <c r="M29" s="30">
        <v>4013.3198319929961</v>
      </c>
      <c r="N29" s="27">
        <v>18.036897096497079</v>
      </c>
      <c r="O29" s="23">
        <v>4864.3373235849194</v>
      </c>
      <c r="P29" s="27">
        <v>16.058262651428191</v>
      </c>
      <c r="Q29" s="30">
        <v>1666.1992710293825</v>
      </c>
      <c r="R29" s="22">
        <v>30.280556804804377</v>
      </c>
      <c r="S29" s="30">
        <v>3449.9734863033932</v>
      </c>
      <c r="T29" s="27">
        <v>20.197889902320618</v>
      </c>
      <c r="U29" s="23">
        <v>2744.450824116378</v>
      </c>
      <c r="V29" s="27">
        <v>22.676895520807719</v>
      </c>
      <c r="W29" s="30">
        <v>19995.348510924854</v>
      </c>
      <c r="X29" s="22">
        <v>6.5354297207773886</v>
      </c>
      <c r="Y29" s="31">
        <v>1759.8502898662846</v>
      </c>
      <c r="Z29" s="76">
        <v>29.642480857811684</v>
      </c>
    </row>
    <row r="30" spans="1:26" x14ac:dyDescent="0.25">
      <c r="A30" s="113"/>
      <c r="B30" s="50" t="str">
        <f>VLOOKUP("&lt;Zeilentitel_2.15&gt;",Uebersetzungen!$B$3:$E$199,Uebersetzungen!$B$2+1,FALSE)</f>
        <v>Appenzell Ausserrhoden</v>
      </c>
      <c r="C30" s="21">
        <v>46087.999999999367</v>
      </c>
      <c r="D30" s="27">
        <v>0.71462856760745264</v>
      </c>
      <c r="E30" s="30">
        <v>30263.581038378325</v>
      </c>
      <c r="F30" s="22">
        <v>4.1818250566146649</v>
      </c>
      <c r="G30" s="30">
        <v>29336.447653304713</v>
      </c>
      <c r="H30" s="27">
        <v>4.3380785958828776</v>
      </c>
      <c r="I30" s="23">
        <v>19112.279609105906</v>
      </c>
      <c r="J30" s="27">
        <v>6.6388567148334641</v>
      </c>
      <c r="K30" s="30">
        <v>3506.323122234588</v>
      </c>
      <c r="L30" s="22">
        <v>19.443282188275486</v>
      </c>
      <c r="M30" s="30">
        <v>3053.452555282799</v>
      </c>
      <c r="N30" s="27">
        <v>21.025899532121993</v>
      </c>
      <c r="O30" s="23">
        <v>3664.3923666814076</v>
      </c>
      <c r="P30" s="27">
        <v>18.822892058475759</v>
      </c>
      <c r="Q30" s="31">
        <v>927.13338507360891</v>
      </c>
      <c r="R30" s="25">
        <v>40.469268127223906</v>
      </c>
      <c r="S30" s="30">
        <v>2025.6554332612568</v>
      </c>
      <c r="T30" s="27">
        <v>25.984625457294875</v>
      </c>
      <c r="U30" s="23">
        <v>1559.4981712242802</v>
      </c>
      <c r="V30" s="27">
        <v>30.529708591873831</v>
      </c>
      <c r="W30" s="30">
        <v>11276.197521494016</v>
      </c>
      <c r="X30" s="22">
        <v>8.8279216135006369</v>
      </c>
      <c r="Y30" s="31">
        <v>963.06783564149191</v>
      </c>
      <c r="Z30" s="76">
        <v>39.491746074041082</v>
      </c>
    </row>
    <row r="31" spans="1:26" x14ac:dyDescent="0.25">
      <c r="A31" s="113"/>
      <c r="B31" s="50" t="str">
        <f>VLOOKUP("&lt;Zeilentitel_2.16&gt;",Uebersetzungen!$B$3:$E$199,Uebersetzungen!$B$2+1,FALSE)</f>
        <v>Appenzell Innerrhoden</v>
      </c>
      <c r="C31" s="21">
        <v>13537.999999999995</v>
      </c>
      <c r="D31" s="27">
        <v>1.7050358244601136</v>
      </c>
      <c r="E31" s="30">
        <v>8856.0871313696225</v>
      </c>
      <c r="F31" s="22">
        <v>7.8541344842184522</v>
      </c>
      <c r="G31" s="30">
        <v>8667.384927631043</v>
      </c>
      <c r="H31" s="27">
        <v>8.0040303461048925</v>
      </c>
      <c r="I31" s="23">
        <v>5827.1351931164536</v>
      </c>
      <c r="J31" s="27">
        <v>12.261568176812039</v>
      </c>
      <c r="K31" s="31">
        <v>994.97022815364335</v>
      </c>
      <c r="L31" s="25">
        <v>36.3364084224132</v>
      </c>
      <c r="M31" s="31">
        <v>770.18299241633281</v>
      </c>
      <c r="N31" s="28">
        <v>40.170177253500981</v>
      </c>
      <c r="O31" s="24">
        <v>1075.0965139446164</v>
      </c>
      <c r="P31" s="28">
        <v>33.43163468080067</v>
      </c>
      <c r="Q31" s="30" t="s">
        <v>331</v>
      </c>
      <c r="R31" s="22" t="s">
        <v>331</v>
      </c>
      <c r="S31" s="31">
        <v>868.94392588802816</v>
      </c>
      <c r="T31" s="28">
        <v>38.447965017978824</v>
      </c>
      <c r="U31" s="24">
        <v>491.67087501418553</v>
      </c>
      <c r="V31" s="28">
        <v>53.429536204068476</v>
      </c>
      <c r="W31" s="30">
        <v>2940.851613797121</v>
      </c>
      <c r="X31" s="22">
        <v>18.185438166869059</v>
      </c>
      <c r="Y31" s="31">
        <v>380.44645393103696</v>
      </c>
      <c r="Z31" s="76">
        <v>61.507686091003045</v>
      </c>
    </row>
    <row r="32" spans="1:26" x14ac:dyDescent="0.25">
      <c r="A32" s="113"/>
      <c r="B32" s="50" t="str">
        <f>VLOOKUP("&lt;Zeilentitel_2.17&gt;",Uebersetzungen!$B$3:$E$199,Uebersetzungen!$B$2+1,FALSE)</f>
        <v>St. Gallen</v>
      </c>
      <c r="C32" s="21">
        <v>436947.99999999459</v>
      </c>
      <c r="D32" s="27">
        <v>0.24636486103235739</v>
      </c>
      <c r="E32" s="30">
        <v>283807.63743651885</v>
      </c>
      <c r="F32" s="22">
        <v>1.34723939121112</v>
      </c>
      <c r="G32" s="30">
        <v>274583.90189836861</v>
      </c>
      <c r="H32" s="27">
        <v>1.4002209317198728</v>
      </c>
      <c r="I32" s="23">
        <v>187672.53601459527</v>
      </c>
      <c r="J32" s="27">
        <v>2.1046624927121376</v>
      </c>
      <c r="K32" s="30">
        <v>27323.078628382384</v>
      </c>
      <c r="L32" s="22">
        <v>6.6990642895816022</v>
      </c>
      <c r="M32" s="30">
        <v>27643.711312812786</v>
      </c>
      <c r="N32" s="27">
        <v>6.6636383574427143</v>
      </c>
      <c r="O32" s="23">
        <v>31944.575942578234</v>
      </c>
      <c r="P32" s="27">
        <v>6.1787259600607838</v>
      </c>
      <c r="Q32" s="30">
        <v>9223.7355381502584</v>
      </c>
      <c r="R32" s="22">
        <v>12.7322078603757</v>
      </c>
      <c r="S32" s="30">
        <v>23159.6108682759</v>
      </c>
      <c r="T32" s="27">
        <v>7.8289713395881551</v>
      </c>
      <c r="U32" s="23">
        <v>16940.708132433945</v>
      </c>
      <c r="V32" s="27">
        <v>8.9220260157417002</v>
      </c>
      <c r="W32" s="30">
        <v>103000.92582142836</v>
      </c>
      <c r="X32" s="22">
        <v>3.0099403285929545</v>
      </c>
      <c r="Y32" s="30">
        <v>10039.117741337403</v>
      </c>
      <c r="Z32" s="75">
        <v>11.963134863763489</v>
      </c>
    </row>
    <row r="33" spans="1:26" x14ac:dyDescent="0.25">
      <c r="A33" s="113"/>
      <c r="B33" s="51" t="str">
        <f>VLOOKUP("&lt;Zeilentitel_2.18&gt;",Uebersetzungen!$B$3:$E$199,Uebersetzungen!$B$2+1,FALSE)</f>
        <v>Graubünden</v>
      </c>
      <c r="C33" s="38">
        <v>172987.00000000116</v>
      </c>
      <c r="D33" s="39">
        <v>0.30992133630712843</v>
      </c>
      <c r="E33" s="40">
        <v>109790.1875684976</v>
      </c>
      <c r="F33" s="41">
        <v>2.1802218470485153</v>
      </c>
      <c r="G33" s="40">
        <v>107516.6050339214</v>
      </c>
      <c r="H33" s="39">
        <v>2.232961122009395</v>
      </c>
      <c r="I33" s="42">
        <v>72810.078500211457</v>
      </c>
      <c r="J33" s="39">
        <v>3.3405328097835549</v>
      </c>
      <c r="K33" s="40">
        <v>10696.271861958357</v>
      </c>
      <c r="L33" s="41">
        <v>10.813384426350209</v>
      </c>
      <c r="M33" s="40">
        <v>10550.671687475704</v>
      </c>
      <c r="N33" s="39">
        <v>10.892407685711461</v>
      </c>
      <c r="O33" s="42">
        <v>13459.582984275814</v>
      </c>
      <c r="P33" s="39">
        <v>9.5054260799776156</v>
      </c>
      <c r="Q33" s="40">
        <v>2273.5825345761564</v>
      </c>
      <c r="R33" s="41">
        <v>25.546793337573483</v>
      </c>
      <c r="S33" s="40">
        <v>8707.6804492583287</v>
      </c>
      <c r="T33" s="39">
        <v>12.242818228097368</v>
      </c>
      <c r="U33" s="42">
        <v>5394.8689272896781</v>
      </c>
      <c r="V33" s="39">
        <v>15.66247980765767</v>
      </c>
      <c r="W33" s="40">
        <v>45325.186468288484</v>
      </c>
      <c r="X33" s="41">
        <v>4.4712341145494419</v>
      </c>
      <c r="Y33" s="40">
        <v>3769.0765866671763</v>
      </c>
      <c r="Z33" s="77">
        <v>19.318711900457913</v>
      </c>
    </row>
    <row r="34" spans="1:26" x14ac:dyDescent="0.25">
      <c r="A34" s="113"/>
      <c r="B34" s="50" t="str">
        <f>VLOOKUP("&lt;Zeilentitel_2.19&gt;",Uebersetzungen!$B$3:$E$199,Uebersetzungen!$B$2+1,FALSE)</f>
        <v>Aargau</v>
      </c>
      <c r="C34" s="21">
        <v>592754.00000001595</v>
      </c>
      <c r="D34" s="27">
        <v>0.14774617140952134</v>
      </c>
      <c r="E34" s="30">
        <v>387510.67619189649</v>
      </c>
      <c r="F34" s="22">
        <v>0.79458193966090629</v>
      </c>
      <c r="G34" s="30">
        <v>374276.91976506665</v>
      </c>
      <c r="H34" s="27">
        <v>0.82725175644930848</v>
      </c>
      <c r="I34" s="23">
        <v>259199.66775223281</v>
      </c>
      <c r="J34" s="27">
        <v>1.2273845768543938</v>
      </c>
      <c r="K34" s="30">
        <v>40459.248092753507</v>
      </c>
      <c r="L34" s="22">
        <v>3.829062071648881</v>
      </c>
      <c r="M34" s="30">
        <v>35970.390352110604</v>
      </c>
      <c r="N34" s="27">
        <v>4.0956937881834259</v>
      </c>
      <c r="O34" s="23">
        <v>38647.613567969442</v>
      </c>
      <c r="P34" s="27">
        <v>3.9770142034598814</v>
      </c>
      <c r="Q34" s="30">
        <v>13233.756426829816</v>
      </c>
      <c r="R34" s="22">
        <v>7.459820363739798</v>
      </c>
      <c r="S34" s="30">
        <v>29143.079581471393</v>
      </c>
      <c r="T34" s="27">
        <v>4.8112678098247681</v>
      </c>
      <c r="U34" s="23">
        <v>24453.725671966193</v>
      </c>
      <c r="V34" s="27">
        <v>5.2107500728106029</v>
      </c>
      <c r="W34" s="30">
        <v>137424.05248734384</v>
      </c>
      <c r="X34" s="22">
        <v>1.8431509888495221</v>
      </c>
      <c r="Y34" s="30">
        <v>14222.466067338428</v>
      </c>
      <c r="Z34" s="75">
        <v>6.9696859368212793</v>
      </c>
    </row>
    <row r="35" spans="1:26" ht="12.75" customHeight="1" x14ac:dyDescent="0.25">
      <c r="A35" s="113"/>
      <c r="B35" s="50" t="str">
        <f>VLOOKUP("&lt;Zeilentitel_2.20&gt;",Uebersetzungen!$B$3:$E$199,Uebersetzungen!$B$2+1,FALSE)</f>
        <v>Thurgau</v>
      </c>
      <c r="C35" s="21">
        <v>241240.9999999991</v>
      </c>
      <c r="D35" s="27">
        <v>0.22864373436400759</v>
      </c>
      <c r="E35" s="30">
        <v>158466.10138018039</v>
      </c>
      <c r="F35" s="22">
        <v>1.2499318539242745</v>
      </c>
      <c r="G35" s="30">
        <v>153240.11783468159</v>
      </c>
      <c r="H35" s="27">
        <v>1.3009221762056318</v>
      </c>
      <c r="I35" s="23">
        <v>105498.22159034194</v>
      </c>
      <c r="J35" s="27">
        <v>1.9443941327894017</v>
      </c>
      <c r="K35" s="30">
        <v>15700.050953268406</v>
      </c>
      <c r="L35" s="22">
        <v>6.193769473915709</v>
      </c>
      <c r="M35" s="30">
        <v>14776.318398451202</v>
      </c>
      <c r="N35" s="27">
        <v>6.40345232230157</v>
      </c>
      <c r="O35" s="23">
        <v>17265.52689261972</v>
      </c>
      <c r="P35" s="27">
        <v>5.8899879355041058</v>
      </c>
      <c r="Q35" s="30">
        <v>5225.983545499108</v>
      </c>
      <c r="R35" s="22">
        <v>11.775160831353531</v>
      </c>
      <c r="S35" s="30">
        <v>10989.420483266367</v>
      </c>
      <c r="T35" s="27">
        <v>7.8791602002707855</v>
      </c>
      <c r="U35" s="23">
        <v>9766.2145488140341</v>
      </c>
      <c r="V35" s="27">
        <v>8.2699517604315567</v>
      </c>
      <c r="W35" s="30">
        <v>56106.706647991865</v>
      </c>
      <c r="X35" s="22">
        <v>2.8296882801904966</v>
      </c>
      <c r="Y35" s="30">
        <v>5912.556939746456</v>
      </c>
      <c r="Z35" s="75">
        <v>10.976299820378129</v>
      </c>
    </row>
    <row r="36" spans="1:26" x14ac:dyDescent="0.25">
      <c r="A36" s="113"/>
      <c r="B36" s="50" t="str">
        <f>VLOOKUP("&lt;Zeilentitel_2.21&gt;",Uebersetzungen!$B$3:$E$199,Uebersetzungen!$B$2+1,FALSE)</f>
        <v>Ticino</v>
      </c>
      <c r="C36" s="21">
        <v>303163.00000000186</v>
      </c>
      <c r="D36" s="27">
        <v>0.17623012132826074</v>
      </c>
      <c r="E36" s="30">
        <v>166368.22407663884</v>
      </c>
      <c r="F36" s="22">
        <v>1.3446574430840033</v>
      </c>
      <c r="G36" s="30">
        <v>155339.44147953403</v>
      </c>
      <c r="H36" s="27">
        <v>1.4330632578033566</v>
      </c>
      <c r="I36" s="23">
        <v>110230.88801557818</v>
      </c>
      <c r="J36" s="27">
        <v>1.9479009696966336</v>
      </c>
      <c r="K36" s="30">
        <v>15325.134191066034</v>
      </c>
      <c r="L36" s="22">
        <v>6.2724474417252534</v>
      </c>
      <c r="M36" s="30">
        <v>15377.979647650474</v>
      </c>
      <c r="N36" s="27">
        <v>6.2532485368135333</v>
      </c>
      <c r="O36" s="23">
        <v>14405.439625239051</v>
      </c>
      <c r="P36" s="27">
        <v>6.4866847852724856</v>
      </c>
      <c r="Q36" s="30">
        <v>11028.782597104881</v>
      </c>
      <c r="R36" s="22">
        <v>7.9543863193093358</v>
      </c>
      <c r="S36" s="30">
        <v>24000.227428161637</v>
      </c>
      <c r="T36" s="27">
        <v>5.3649095917287912</v>
      </c>
      <c r="U36" s="23">
        <v>16194.511077734976</v>
      </c>
      <c r="V36" s="27">
        <v>6.2017574920603558</v>
      </c>
      <c r="W36" s="30">
        <v>88504.389209461893</v>
      </c>
      <c r="X36" s="22">
        <v>2.1779449745895429</v>
      </c>
      <c r="Y36" s="30">
        <v>8095.6482080047763</v>
      </c>
      <c r="Z36" s="75">
        <v>9.3255431116707825</v>
      </c>
    </row>
    <row r="37" spans="1:26" x14ac:dyDescent="0.25">
      <c r="A37" s="113"/>
      <c r="B37" s="50" t="str">
        <f>VLOOKUP("&lt;Zeilentitel_2.22&gt;",Uebersetzungen!$B$3:$E$199,Uebersetzungen!$B$2+1,FALSE)</f>
        <v>Vaud</v>
      </c>
      <c r="C37" s="21">
        <v>678300.00000000547</v>
      </c>
      <c r="D37" s="27">
        <v>0.14318553783239954</v>
      </c>
      <c r="E37" s="30">
        <v>424917.44188324455</v>
      </c>
      <c r="F37" s="22">
        <v>0.78040071254482679</v>
      </c>
      <c r="G37" s="30">
        <v>395625.2809127529</v>
      </c>
      <c r="H37" s="27">
        <v>0.84362606354443337</v>
      </c>
      <c r="I37" s="23">
        <v>277936.18571386999</v>
      </c>
      <c r="J37" s="27">
        <v>1.1977224507030362</v>
      </c>
      <c r="K37" s="30">
        <v>51911.645906054422</v>
      </c>
      <c r="L37" s="22">
        <v>3.3425722817701993</v>
      </c>
      <c r="M37" s="30">
        <v>35920.767147992403</v>
      </c>
      <c r="N37" s="27">
        <v>4.125946132209581</v>
      </c>
      <c r="O37" s="23">
        <v>29856.682144836213</v>
      </c>
      <c r="P37" s="27">
        <v>4.6171630865772357</v>
      </c>
      <c r="Q37" s="30">
        <v>29292.160970492099</v>
      </c>
      <c r="R37" s="22">
        <v>4.9067103111621853</v>
      </c>
      <c r="S37" s="30">
        <v>56578.401224352332</v>
      </c>
      <c r="T37" s="27">
        <v>3.4953489163831191</v>
      </c>
      <c r="U37" s="23">
        <v>22405.517701302695</v>
      </c>
      <c r="V37" s="27">
        <v>5.4356170028473896</v>
      </c>
      <c r="W37" s="30">
        <v>151913.99773600601</v>
      </c>
      <c r="X37" s="22">
        <v>1.7210614143097267</v>
      </c>
      <c r="Y37" s="30">
        <v>22484.641455099456</v>
      </c>
      <c r="Z37" s="75">
        <v>5.6171088684732684</v>
      </c>
    </row>
    <row r="38" spans="1:26" x14ac:dyDescent="0.25">
      <c r="A38" s="113"/>
      <c r="B38" s="50" t="str">
        <f>VLOOKUP("&lt;Zeilentitel_2.23&gt;",Uebersetzungen!$B$3:$E$199,Uebersetzungen!$B$2+1,FALSE)</f>
        <v>Wallis</v>
      </c>
      <c r="C38" s="21">
        <v>299210.00000000017</v>
      </c>
      <c r="D38" s="27">
        <v>0.29170246422488044</v>
      </c>
      <c r="E38" s="30">
        <v>181960.40664504227</v>
      </c>
      <c r="F38" s="22">
        <v>1.7589366632601513</v>
      </c>
      <c r="G38" s="30">
        <v>174720.3805177777</v>
      </c>
      <c r="H38" s="27">
        <v>1.8353885651811734</v>
      </c>
      <c r="I38" s="23">
        <v>121602.94616850367</v>
      </c>
      <c r="J38" s="27">
        <v>2.6356516933071612</v>
      </c>
      <c r="K38" s="30">
        <v>20127.521023053556</v>
      </c>
      <c r="L38" s="22">
        <v>7.7700368513603006</v>
      </c>
      <c r="M38" s="30">
        <v>18132.180343114189</v>
      </c>
      <c r="N38" s="27">
        <v>8.1137976018858335</v>
      </c>
      <c r="O38" s="23">
        <v>14857.732983106183</v>
      </c>
      <c r="P38" s="27">
        <v>9.1072494806127313</v>
      </c>
      <c r="Q38" s="30">
        <v>7240.0261272645394</v>
      </c>
      <c r="R38" s="22">
        <v>14.222639247486578</v>
      </c>
      <c r="S38" s="30">
        <v>19894.097470682402</v>
      </c>
      <c r="T38" s="27">
        <v>8.1168917747570575</v>
      </c>
      <c r="U38" s="23">
        <v>9592.8371751892519</v>
      </c>
      <c r="V38" s="27">
        <v>11.60115512554284</v>
      </c>
      <c r="W38" s="30">
        <v>79953.853184644409</v>
      </c>
      <c r="X38" s="22">
        <v>3.3271838393320534</v>
      </c>
      <c r="Y38" s="30">
        <v>7808.8055244420448</v>
      </c>
      <c r="Z38" s="75">
        <v>13.502102397463723</v>
      </c>
    </row>
    <row r="39" spans="1:26" x14ac:dyDescent="0.25">
      <c r="A39" s="113"/>
      <c r="B39" s="50" t="str">
        <f>VLOOKUP("&lt;Zeilentitel_2.24&gt;",Uebersetzungen!$B$3:$E$199,Uebersetzungen!$B$2+1,FALSE)</f>
        <v>Neuchâtel</v>
      </c>
      <c r="C39" s="21">
        <v>147269.99999999863</v>
      </c>
      <c r="D39" s="27">
        <v>0.30607967779641138</v>
      </c>
      <c r="E39" s="30">
        <v>91198.085362621292</v>
      </c>
      <c r="F39" s="22">
        <v>1.71284976165474</v>
      </c>
      <c r="G39" s="30">
        <v>85734.887712141106</v>
      </c>
      <c r="H39" s="27">
        <v>1.8313740921779089</v>
      </c>
      <c r="I39" s="23">
        <v>57799.103725240158</v>
      </c>
      <c r="J39" s="27">
        <v>2.6664352983074293</v>
      </c>
      <c r="K39" s="30">
        <v>12081.56328988271</v>
      </c>
      <c r="L39" s="22">
        <v>6.972384900759395</v>
      </c>
      <c r="M39" s="30">
        <v>8852.4133633239999</v>
      </c>
      <c r="N39" s="27">
        <v>8.2868539069674974</v>
      </c>
      <c r="O39" s="23">
        <v>7001.8073336943035</v>
      </c>
      <c r="P39" s="27">
        <v>9.4656578374752893</v>
      </c>
      <c r="Q39" s="30">
        <v>5463.1976504801305</v>
      </c>
      <c r="R39" s="22">
        <v>11.211923949102232</v>
      </c>
      <c r="S39" s="30">
        <v>10474.576766206148</v>
      </c>
      <c r="T39" s="27">
        <v>7.7237149507275609</v>
      </c>
      <c r="U39" s="23">
        <v>3660.9924740224324</v>
      </c>
      <c r="V39" s="27">
        <v>13.488341370137045</v>
      </c>
      <c r="W39" s="30">
        <v>37536.074288341792</v>
      </c>
      <c r="X39" s="22">
        <v>3.3892951130561215</v>
      </c>
      <c r="Y39" s="30">
        <v>4400.2711088069946</v>
      </c>
      <c r="Z39" s="75">
        <v>12.406357396211279</v>
      </c>
    </row>
    <row r="40" spans="1:26" x14ac:dyDescent="0.25">
      <c r="A40" s="113"/>
      <c r="B40" s="50" t="str">
        <f>VLOOKUP("&lt;Zeilentitel_2.25&gt;",Uebersetzungen!$B$3:$E$199,Uebersetzungen!$B$2+1,FALSE)</f>
        <v>Genève</v>
      </c>
      <c r="C40" s="21">
        <v>392799.99999999796</v>
      </c>
      <c r="D40" s="27">
        <v>0.23111712258107001</v>
      </c>
      <c r="E40" s="30">
        <v>236825.16439801647</v>
      </c>
      <c r="F40" s="22">
        <v>1.1385005299786159</v>
      </c>
      <c r="G40" s="30">
        <v>212016.80770539364</v>
      </c>
      <c r="H40" s="27">
        <v>1.2687594393486896</v>
      </c>
      <c r="I40" s="23">
        <v>146876.92120508075</v>
      </c>
      <c r="J40" s="27">
        <v>1.764933928077806</v>
      </c>
      <c r="K40" s="30">
        <v>28900.7289050906</v>
      </c>
      <c r="L40" s="22">
        <v>4.6573738576544272</v>
      </c>
      <c r="M40" s="30">
        <v>18035.266963477785</v>
      </c>
      <c r="N40" s="27">
        <v>6.1946463364244844</v>
      </c>
      <c r="O40" s="23">
        <v>18203.890631744438</v>
      </c>
      <c r="P40" s="27">
        <v>6.2396083522123931</v>
      </c>
      <c r="Q40" s="30">
        <v>24808.356692623034</v>
      </c>
      <c r="R40" s="22">
        <v>5.5336105620629228</v>
      </c>
      <c r="S40" s="30">
        <v>36048.901135321794</v>
      </c>
      <c r="T40" s="27">
        <v>4.4576250463796958</v>
      </c>
      <c r="U40" s="23">
        <v>14211.783771897362</v>
      </c>
      <c r="V40" s="27">
        <v>7.1478252591421176</v>
      </c>
      <c r="W40" s="30">
        <v>89185.718412109796</v>
      </c>
      <c r="X40" s="22">
        <v>2.2865596214516599</v>
      </c>
      <c r="Y40" s="30">
        <v>16528.432282652426</v>
      </c>
      <c r="Z40" s="75">
        <v>6.768391895228957</v>
      </c>
    </row>
    <row r="41" spans="1:26" ht="13" thickBot="1" x14ac:dyDescent="0.3">
      <c r="A41" s="114"/>
      <c r="B41" s="68" t="str">
        <f>VLOOKUP("&lt;Zeilentitel_2.26&gt;",Uebersetzungen!$B$3:$E$199,Uebersetzungen!$B$2+1,FALSE)</f>
        <v>Jura</v>
      </c>
      <c r="C41" s="69">
        <v>61633.999999999673</v>
      </c>
      <c r="D41" s="70">
        <v>0.65787418006009679</v>
      </c>
      <c r="E41" s="71">
        <v>36488.679622053809</v>
      </c>
      <c r="F41" s="72">
        <v>3.9361307560817753</v>
      </c>
      <c r="G41" s="71">
        <v>34126.216312285062</v>
      </c>
      <c r="H41" s="70">
        <v>4.2137914249303918</v>
      </c>
      <c r="I41" s="73">
        <v>21866.356734989633</v>
      </c>
      <c r="J41" s="70">
        <v>6.3399133305688009</v>
      </c>
      <c r="K41" s="71">
        <v>4926.0631084087099</v>
      </c>
      <c r="L41" s="72">
        <v>15.499506964448692</v>
      </c>
      <c r="M41" s="71">
        <v>3985.1325293160653</v>
      </c>
      <c r="N41" s="70">
        <v>17.388083982656322</v>
      </c>
      <c r="O41" s="73">
        <v>3348.6639395706729</v>
      </c>
      <c r="P41" s="70">
        <v>19.570887885518534</v>
      </c>
      <c r="Q41" s="71">
        <v>2362.4633097687388</v>
      </c>
      <c r="R41" s="72">
        <v>24.565656711750275</v>
      </c>
      <c r="S41" s="71">
        <v>4152.9162718347316</v>
      </c>
      <c r="T41" s="70">
        <v>18.50377855952415</v>
      </c>
      <c r="U41" s="73">
        <v>1804.2484112031711</v>
      </c>
      <c r="V41" s="70">
        <v>27.12776819460705</v>
      </c>
      <c r="W41" s="71">
        <v>17656.1083886753</v>
      </c>
      <c r="X41" s="72">
        <v>7.1169753704270278</v>
      </c>
      <c r="Y41" s="71">
        <v>1532.0473062326505</v>
      </c>
      <c r="Z41" s="78">
        <v>30.23731822623931</v>
      </c>
    </row>
    <row r="42" spans="1:26" ht="13" x14ac:dyDescent="0.25">
      <c r="A42" s="17"/>
      <c r="B42" s="10"/>
      <c r="C42" s="9"/>
      <c r="D42" s="11"/>
      <c r="E42" s="12"/>
      <c r="F42" s="13"/>
      <c r="G42" s="14"/>
      <c r="H42" s="13"/>
      <c r="I42" s="14"/>
      <c r="J42" s="13"/>
      <c r="K42" s="14"/>
      <c r="L42" s="14"/>
      <c r="M42" s="13"/>
      <c r="N42" s="14"/>
    </row>
    <row r="43" spans="1:26" x14ac:dyDescent="0.25">
      <c r="A43" s="15" t="str">
        <f>VLOOKUP("&lt;Legende_1&gt;",Uebersetzungen!$B$3:$E$199,Uebersetzungen!$B$2+1,FALSE)</f>
        <v>(): Extrapolation aufgrund von 49 oder weniger Beobachtungen. Die Resultate sind mit grosser Vorsicht zu interpretieren.</v>
      </c>
    </row>
    <row r="44" spans="1:26" x14ac:dyDescent="0.25">
      <c r="A44" s="15" t="str">
        <f>VLOOKUP("&lt;Legende_2&gt;",Uebersetzungen!$B$3:$E$199,Uebersetzungen!$B$2+1,FALSE)</f>
        <v>X: Extrapolation aufgrund von 4 oder weniger Beobachtungen. Die Resultate werden aus Gründen des Datenschutzes nicht publiziert.</v>
      </c>
    </row>
    <row r="45" spans="1:26" x14ac:dyDescent="0.25">
      <c r="A45" s="15" t="str">
        <f>VLOOKUP("&lt;Legende_3&gt;",Uebersetzungen!$B$3:$E$199,Uebersetzungen!$B$2+1,FALSE)</f>
        <v>Die Grundgesamtheit der Strukturerhebung enthält alle Personen der ständigen Wohnbevölkerung ab vollendetem 15. Altersjahr, die in Privathaushalten leben.</v>
      </c>
    </row>
    <row r="46" spans="1:26" x14ac:dyDescent="0.25">
      <c r="A46" s="15" t="str">
        <f>VLOOKUP("&lt;Legende_4&gt;",Uebersetzungen!$B$3:$E$199,Uebersetzungen!$B$2+1,FALSE)</f>
        <v>Aus der Grundgesamtheit ausgeschlossen wurden neben den Personen, die in Kollektivhaushalten leben, auch Diplomaten, internationale Funktionäre und deren Angehörige.</v>
      </c>
    </row>
    <row r="48" spans="1:26" x14ac:dyDescent="0.25">
      <c r="A48" s="1" t="str">
        <f>VLOOKUP("&lt;quelle_1&gt;",Uebersetzungen!$B$3:$E$199,Uebersetzungen!$B$2+1,FALSE)</f>
        <v>Quelle: BFS (Strukturerhebung)</v>
      </c>
    </row>
    <row r="49" spans="1:1" x14ac:dyDescent="0.25">
      <c r="A49" s="1" t="str">
        <f>VLOOKUP("&lt;aktualisierung&gt;",Uebersetzungen!$B$3:$E$199,Uebersetzungen!$B$2+1,FALSE)</f>
        <v>Letztmals aktualisiert am: 26.01.2024</v>
      </c>
    </row>
  </sheetData>
  <sheetProtection sheet="1" objects="1" scenarios="1"/>
  <mergeCells count="16">
    <mergeCell ref="A7:B7"/>
    <mergeCell ref="K13:L13"/>
    <mergeCell ref="M13:N13"/>
    <mergeCell ref="O13:P13"/>
    <mergeCell ref="C13:D13"/>
    <mergeCell ref="E13:F13"/>
    <mergeCell ref="G13:H13"/>
    <mergeCell ref="I13:J13"/>
    <mergeCell ref="W13:X13"/>
    <mergeCell ref="Y13:Z13"/>
    <mergeCell ref="C12:Z12"/>
    <mergeCell ref="A16:A41"/>
    <mergeCell ref="U13:V13"/>
    <mergeCell ref="A15:B15"/>
    <mergeCell ref="Q13:R13"/>
    <mergeCell ref="S13:T13"/>
  </mergeCells>
  <pageMargins left="0.7" right="0.7" top="0.78740157499999996" bottom="0.78740157499999996" header="0.3" footer="0.3"/>
  <pageSetup paperSize="9" orientation="portrait" r:id="rId1"/>
  <ignoredErrors>
    <ignoredError sqref="D14:G14 H14:I14 J14:K14 L14:N14 O14:Q14 T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431800</xdr:colOff>
                    <xdr:row>1</xdr:row>
                    <xdr:rowOff>120650</xdr:rowOff>
                  </from>
                  <to>
                    <xdr:col>4</xdr:col>
                    <xdr:colOff>749300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431800</xdr:colOff>
                    <xdr:row>2</xdr:row>
                    <xdr:rowOff>107950</xdr:rowOff>
                  </from>
                  <to>
                    <xdr:col>5</xdr:col>
                    <xdr:colOff>304800</xdr:colOff>
                    <xdr:row>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431800</xdr:colOff>
                    <xdr:row>3</xdr:row>
                    <xdr:rowOff>76200</xdr:rowOff>
                  </from>
                  <to>
                    <xdr:col>4</xdr:col>
                    <xdr:colOff>749300</xdr:colOff>
                    <xdr:row>4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workbookViewId="0"/>
  </sheetViews>
  <sheetFormatPr baseColWidth="10" defaultColWidth="11.453125" defaultRowHeight="12.5" x14ac:dyDescent="0.25"/>
  <cols>
    <col min="1" max="2" width="32.26953125" style="1" customWidth="1"/>
    <col min="3" max="26" width="12" style="1" customWidth="1"/>
    <col min="27" max="16384" width="11.453125" style="1"/>
  </cols>
  <sheetData>
    <row r="1" spans="1:26" s="2" customFormat="1" x14ac:dyDescent="0.25"/>
    <row r="2" spans="1:26" s="2" customFormat="1" ht="15.5" x14ac:dyDescent="0.35">
      <c r="B2" s="3"/>
      <c r="C2" s="1"/>
      <c r="D2" s="1"/>
    </row>
    <row r="3" spans="1:26" s="2" customFormat="1" ht="15.5" x14ac:dyDescent="0.35">
      <c r="B3" s="3"/>
      <c r="C3" s="1"/>
      <c r="D3" s="1"/>
    </row>
    <row r="4" spans="1:26" s="2" customFormat="1" ht="15.5" x14ac:dyDescent="0.35">
      <c r="B4" s="3"/>
      <c r="C4" s="1"/>
      <c r="D4" s="1"/>
    </row>
    <row r="5" spans="1:26" s="2" customFormat="1" x14ac:dyDescent="0.25"/>
    <row r="6" spans="1:26" s="2" customFormat="1" x14ac:dyDescent="0.25"/>
    <row r="7" spans="1:26" s="2" customFormat="1" ht="15.75" customHeight="1" x14ac:dyDescent="0.35">
      <c r="A7" s="89" t="str">
        <f>VLOOKUP("&lt;Fachbereich&gt;",Uebersetzungen!$B$3:$E$200,Uebersetzungen!$B$2+1,FALSE)</f>
        <v>Daten &amp; Statistik</v>
      </c>
      <c r="B7" s="89"/>
      <c r="C7" s="4"/>
      <c r="D7" s="4"/>
      <c r="E7" s="4"/>
      <c r="F7" s="4"/>
      <c r="G7" s="4"/>
      <c r="H7" s="4"/>
    </row>
    <row r="8" spans="1:26" s="2" customFormat="1" x14ac:dyDescent="0.25"/>
    <row r="9" spans="1:26" s="8" customFormat="1" ht="17.5" x14ac:dyDescent="0.3">
      <c r="A9" s="32" t="str">
        <f>VLOOKUP("&lt;T2Titel&gt;",Uebersetzungen!$B$3:$E$200,Uebersetzungen!$B$2+1,FALSE)</f>
        <v>Erwerbsstatus im Kanton Graubünden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26" s="8" customFormat="1" ht="14" x14ac:dyDescent="0.3">
      <c r="A10" s="33" t="str">
        <f>VLOOKUP("&lt;UTitel&gt;",Uebersetzungen!$B$3:$E$200,Uebersetzungen!$B$2+1,FALSE)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26" s="8" customFormat="1" ht="14.5" thickBot="1" x14ac:dyDescent="0.35">
      <c r="A11" s="33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26" ht="18" thickBot="1" x14ac:dyDescent="0.4">
      <c r="C12" s="109">
        <v>2022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39" customHeight="1" x14ac:dyDescent="0.25">
      <c r="A13" s="10"/>
      <c r="B13" s="16"/>
      <c r="C13" s="119" t="str">
        <f>VLOOKUP("&lt;SpaltenTitel_1&gt;",Uebersetzungen!$B$3:$E$200,Uebersetzungen!$B$2+1,FALSE)</f>
        <v>Total</v>
      </c>
      <c r="D13" s="120"/>
      <c r="E13" s="119" t="str">
        <f>VLOOKUP("&lt;SpaltenTitel_2&gt;",Uebersetzungen!$B$3:$E$200,Uebersetzungen!$B$2+1,FALSE)</f>
        <v>Erwerbspersonen</v>
      </c>
      <c r="F13" s="120"/>
      <c r="G13" s="119" t="str">
        <f>VLOOKUP("&lt;SpaltenTitel_3&gt;",Uebersetzungen!$B$3:$E$200,Uebersetzungen!$B$2+1,FALSE)</f>
        <v>Erwerbstätige</v>
      </c>
      <c r="H13" s="120"/>
      <c r="I13" s="119" t="str">
        <f>VLOOKUP("&lt;SpaltenTitel_4&gt;",Uebersetzungen!$B$3:$E$200,Uebersetzungen!$B$2+1,FALSE)</f>
        <v>Vollzeiterwerbstätige (90-100%)</v>
      </c>
      <c r="J13" s="120"/>
      <c r="K13" s="119" t="str">
        <f>VLOOKUP("&lt;SpaltenTitel_5&gt;",Uebersetzungen!$B$3:$E$200,Uebersetzungen!$B$2+1,FALSE)</f>
        <v>Teilzeiterwerbstätige I (70-89%)</v>
      </c>
      <c r="L13" s="120"/>
      <c r="M13" s="119" t="str">
        <f>VLOOKUP("&lt;SpaltenTitel_6&gt;",Uebersetzungen!$B$3:$E$200,Uebersetzungen!$B$2+1,FALSE)</f>
        <v>Teilzeiterwerbstätige II (50-69%)</v>
      </c>
      <c r="N13" s="120"/>
      <c r="O13" s="119" t="str">
        <f>VLOOKUP("&lt;SpaltenTitel_7&gt;",Uebersetzungen!$B$3:$E$200,Uebersetzungen!$B$2+1,FALSE)</f>
        <v>Teilzeiterwerbstätige III (weniger als 50%)</v>
      </c>
      <c r="P13" s="120"/>
      <c r="Q13" s="119" t="str">
        <f>VLOOKUP("&lt;SpaltenTitel_8&gt;",Uebersetzungen!$B$3:$E$200,Uebersetzungen!$B$2+1,FALSE)</f>
        <v>Erwerbslose</v>
      </c>
      <c r="R13" s="120"/>
      <c r="S13" s="119" t="str">
        <f>VLOOKUP("&lt;SpaltenTitel_9&gt;",Uebersetzungen!$B$3:$E$200,Uebersetzungen!$B$2+1,FALSE)</f>
        <v>Nichterwerbspersonen in Ausbildung</v>
      </c>
      <c r="T13" s="120"/>
      <c r="U13" s="119" t="str">
        <f>VLOOKUP("&lt;SpaltenTitel_10&gt;",Uebersetzungen!$B$3:$E$200,Uebersetzungen!$B$2+1,FALSE)</f>
        <v>Hausfrauen/Hausmänner</v>
      </c>
      <c r="V13" s="121"/>
      <c r="W13" s="119" t="str">
        <f>VLOOKUP("&lt;SpaltenTitel_11&gt;",Uebersetzungen!$B$3:$E$200,Uebersetzungen!$B$2+1,FALSE)</f>
        <v>Rentner/innen (AHV, IV)</v>
      </c>
      <c r="X13" s="120"/>
      <c r="Y13" s="119" t="str">
        <f>VLOOKUP("&lt;SpaltenTitel_12&gt;",Uebersetzungen!$B$3:$E$200,Uebersetzungen!$B$2+1,FALSE)</f>
        <v>Andere Nichterwerbspersonen</v>
      </c>
      <c r="Z13" s="120"/>
    </row>
    <row r="14" spans="1:26" ht="39.75" customHeight="1" thickBot="1" x14ac:dyDescent="0.3">
      <c r="A14" s="34"/>
      <c r="B14" s="35"/>
      <c r="C14" s="36" t="str">
        <f>VLOOKUP("&lt;SpaltenTitel_1.1&gt;",Uebersetzungen!$B$3:$E$200,Uebersetzungen!$B$2+1,FALSE)</f>
        <v>Anzahl Personen</v>
      </c>
      <c r="D14" s="37" t="str">
        <f>VLOOKUP("&lt;SpaltenTitel_1.2&gt;",Uebersetzungen!$B$3:$E$200,Uebersetzungen!$B$2+1,FALSE)</f>
        <v>Vertrauens- intervall:          ± (in %)</v>
      </c>
      <c r="E14" s="36" t="str">
        <f>VLOOKUP("&lt;SpaltenTitel_1.1&gt;",Uebersetzungen!$B$3:$E$200,Uebersetzungen!$B$2+1,FALSE)</f>
        <v>Anzahl Personen</v>
      </c>
      <c r="F14" s="37" t="str">
        <f>VLOOKUP("&lt;SpaltenTitel_1.2&gt;",Uebersetzungen!$B$3:$E$200,Uebersetzungen!$B$2+1,FALSE)</f>
        <v>Vertrauens- intervall:          ± (in %)</v>
      </c>
      <c r="G14" s="36" t="str">
        <f>VLOOKUP("&lt;SpaltenTitel_1.1&gt;",Uebersetzungen!$B$3:$E$200,Uebersetzungen!$B$2+1,FALSE)</f>
        <v>Anzahl Personen</v>
      </c>
      <c r="H14" s="37" t="str">
        <f>VLOOKUP("&lt;SpaltenTitel_1.2&gt;",Uebersetzungen!$B$3:$E$200,Uebersetzungen!$B$2+1,FALSE)</f>
        <v>Vertrauens- intervall:          ± (in %)</v>
      </c>
      <c r="I14" s="36" t="str">
        <f>VLOOKUP("&lt;SpaltenTitel_1.1&gt;",Uebersetzungen!$B$3:$E$200,Uebersetzungen!$B$2+1,FALSE)</f>
        <v>Anzahl Personen</v>
      </c>
      <c r="J14" s="37" t="str">
        <f>VLOOKUP("&lt;SpaltenTitel_1.2&gt;",Uebersetzungen!$B$3:$E$200,Uebersetzungen!$B$2+1,FALSE)</f>
        <v>Vertrauens- intervall:          ± (in %)</v>
      </c>
      <c r="K14" s="36" t="str">
        <f>VLOOKUP("&lt;SpaltenTitel_1.1&gt;",Uebersetzungen!$B$3:$E$200,Uebersetzungen!$B$2+1,FALSE)</f>
        <v>Anzahl Personen</v>
      </c>
      <c r="L14" s="37" t="str">
        <f>VLOOKUP("&lt;SpaltenTitel_1.2&gt;",Uebersetzungen!$B$3:$E$200,Uebersetzungen!$B$2+1,FALSE)</f>
        <v>Vertrauens- intervall:          ± (in %)</v>
      </c>
      <c r="M14" s="36" t="str">
        <f>VLOOKUP("&lt;SpaltenTitel_1.1&gt;",Uebersetzungen!$B$3:$E$200,Uebersetzungen!$B$2+1,FALSE)</f>
        <v>Anzahl Personen</v>
      </c>
      <c r="N14" s="37" t="str">
        <f>VLOOKUP("&lt;SpaltenTitel_1.2&gt;",Uebersetzungen!$B$3:$E$200,Uebersetzungen!$B$2+1,FALSE)</f>
        <v>Vertrauens- intervall:          ± (in %)</v>
      </c>
      <c r="O14" s="36" t="str">
        <f>VLOOKUP("&lt;SpaltenTitel_1.1&gt;",Uebersetzungen!$B$3:$E$200,Uebersetzungen!$B$2+1,FALSE)</f>
        <v>Anzahl Personen</v>
      </c>
      <c r="P14" s="37" t="str">
        <f>VLOOKUP("&lt;SpaltenTitel_1.2&gt;",Uebersetzungen!$B$3:$E$200,Uebersetzungen!$B$2+1,FALSE)</f>
        <v>Vertrauens- intervall:          ± (in %)</v>
      </c>
      <c r="Q14" s="36" t="str">
        <f>VLOOKUP("&lt;SpaltenTitel_1.1&gt;",Uebersetzungen!$B$3:$E$200,Uebersetzungen!$B$2+1,FALSE)</f>
        <v>Anzahl Personen</v>
      </c>
      <c r="R14" s="37" t="str">
        <f>VLOOKUP("&lt;SpaltenTitel_1.2&gt;",Uebersetzungen!$B$3:$E$200,Uebersetzungen!$B$2+1,FALSE)</f>
        <v>Vertrauens- intervall:          ± (in %)</v>
      </c>
      <c r="S14" s="36" t="str">
        <f>VLOOKUP("&lt;SpaltenTitel_1.1&gt;",Uebersetzungen!$B$3:$E$200,Uebersetzungen!$B$2+1,FALSE)</f>
        <v>Anzahl Personen</v>
      </c>
      <c r="T14" s="37" t="str">
        <f>VLOOKUP("&lt;SpaltenTitel_1.2&gt;",Uebersetzungen!$B$3:$E$200,Uebersetzungen!$B$2+1,FALSE)</f>
        <v>Vertrauens- intervall:          ± (in %)</v>
      </c>
      <c r="U14" s="36" t="str">
        <f>VLOOKUP("&lt;SpaltenTitel_1.1&gt;",Uebersetzungen!$B$3:$E$200,Uebersetzungen!$B$2+1,FALSE)</f>
        <v>Anzahl Personen</v>
      </c>
      <c r="V14" s="37" t="str">
        <f>VLOOKUP("&lt;SpaltenTitel_1.2&gt;",Uebersetzungen!$B$3:$E$200,Uebersetzungen!$B$2+1,FALSE)</f>
        <v>Vertrauens- intervall:          ± (in %)</v>
      </c>
      <c r="W14" s="48" t="s">
        <v>0</v>
      </c>
      <c r="X14" s="49" t="s">
        <v>1</v>
      </c>
      <c r="Y14" s="48" t="s">
        <v>0</v>
      </c>
      <c r="Z14" s="49" t="s">
        <v>1</v>
      </c>
    </row>
    <row r="15" spans="1:26" ht="13" x14ac:dyDescent="0.25">
      <c r="A15" s="87" t="str">
        <f>VLOOKUP("&lt;T2Zeilentitel_1&gt;",Uebersetzungen!$B$3:$E$194,Uebersetzungen!$B$2+1,FALSE)</f>
        <v>Total</v>
      </c>
      <c r="B15" s="88"/>
      <c r="C15" s="101">
        <v>172987.00000000116</v>
      </c>
      <c r="D15" s="102">
        <v>0.30992133630712843</v>
      </c>
      <c r="E15" s="103">
        <v>109790.1875684976</v>
      </c>
      <c r="F15" s="104">
        <v>2.1802218470485153</v>
      </c>
      <c r="G15" s="103">
        <v>107516.6050339214</v>
      </c>
      <c r="H15" s="102">
        <v>2.232961122009395</v>
      </c>
      <c r="I15" s="105">
        <v>72810.078500211457</v>
      </c>
      <c r="J15" s="102">
        <v>3.3405328097835549</v>
      </c>
      <c r="K15" s="103">
        <v>10696.271861958357</v>
      </c>
      <c r="L15" s="104">
        <v>10.813384426350209</v>
      </c>
      <c r="M15" s="103">
        <v>10550.671687475704</v>
      </c>
      <c r="N15" s="102">
        <v>10.892407685711461</v>
      </c>
      <c r="O15" s="105">
        <v>13459.582984275814</v>
      </c>
      <c r="P15" s="102">
        <v>9.5054260799776156</v>
      </c>
      <c r="Q15" s="103">
        <v>2273.5825345761564</v>
      </c>
      <c r="R15" s="104">
        <v>25.546793337573483</v>
      </c>
      <c r="S15" s="103">
        <v>8707.6804492583287</v>
      </c>
      <c r="T15" s="102">
        <v>12.242818228097368</v>
      </c>
      <c r="U15" s="105">
        <v>5394.8689272896781</v>
      </c>
      <c r="V15" s="102">
        <v>15.66247980765767</v>
      </c>
      <c r="W15" s="103">
        <v>45325.186468288484</v>
      </c>
      <c r="X15" s="104">
        <v>4.4712341145494419</v>
      </c>
      <c r="Y15" s="103">
        <v>3769.0765866671763</v>
      </c>
      <c r="Z15" s="102">
        <v>19.318711900457913</v>
      </c>
    </row>
    <row r="16" spans="1:26" x14ac:dyDescent="0.25">
      <c r="A16" s="50" t="str">
        <f>VLOOKUP("&lt;T2Zeilentitel_2&gt;",Uebersetzungen!$B$3:$E$194,Uebersetzungen!$B$2+1,FALSE)</f>
        <v>Geschlecht</v>
      </c>
      <c r="B16" s="50" t="str">
        <f>VLOOKUP("&lt;T2Zeilentitel_2.1&gt;",Uebersetzungen!$B$3:$E$194,Uebersetzungen!$B$2+1,FALSE)</f>
        <v>Männer</v>
      </c>
      <c r="C16" s="21">
        <v>86763.000000001324</v>
      </c>
      <c r="D16" s="27">
        <v>2.8238600372240694</v>
      </c>
      <c r="E16" s="30">
        <v>59196.401194325197</v>
      </c>
      <c r="F16" s="22">
        <v>3.9618294921942363</v>
      </c>
      <c r="G16" s="30">
        <v>57842.104227609132</v>
      </c>
      <c r="H16" s="27">
        <v>4.0209828631228257</v>
      </c>
      <c r="I16" s="23">
        <v>49788.074741733682</v>
      </c>
      <c r="J16" s="27">
        <v>4.4842040789770534</v>
      </c>
      <c r="K16" s="30">
        <v>3179.6320962001128</v>
      </c>
      <c r="L16" s="22">
        <v>20.51473318185187</v>
      </c>
      <c r="M16" s="30">
        <v>2249.163937211883</v>
      </c>
      <c r="N16" s="27">
        <v>24.307400623270212</v>
      </c>
      <c r="O16" s="23">
        <v>2625.2334524635007</v>
      </c>
      <c r="P16" s="27">
        <v>22.296529876459733</v>
      </c>
      <c r="Q16" s="30">
        <v>1354.2969667160307</v>
      </c>
      <c r="R16" s="22">
        <v>33.827179902843987</v>
      </c>
      <c r="S16" s="30">
        <v>4209.6058917629271</v>
      </c>
      <c r="T16" s="27">
        <v>17.989456399007313</v>
      </c>
      <c r="U16" s="23">
        <v>359.62852186583547</v>
      </c>
      <c r="V16" s="27">
        <v>65.109014843142162</v>
      </c>
      <c r="W16" s="30">
        <v>20845.763087639774</v>
      </c>
      <c r="X16" s="22">
        <v>7.2362101947491544</v>
      </c>
      <c r="Y16" s="30">
        <v>2151.601304407578</v>
      </c>
      <c r="Z16" s="27">
        <v>25.856596545040087</v>
      </c>
    </row>
    <row r="17" spans="1:26" x14ac:dyDescent="0.25">
      <c r="A17" s="50"/>
      <c r="B17" s="50" t="str">
        <f>VLOOKUP("&lt;T2Zeilentitel_2.2&gt;",Uebersetzungen!$B$3:$E$194,Uebersetzungen!$B$2+1,FALSE)</f>
        <v>Frauen</v>
      </c>
      <c r="C17" s="21">
        <v>86223.999999999825</v>
      </c>
      <c r="D17" s="27">
        <v>2.7581960888754895</v>
      </c>
      <c r="E17" s="30">
        <v>50593.7863741724</v>
      </c>
      <c r="F17" s="22">
        <v>4.3221481684777334</v>
      </c>
      <c r="G17" s="30">
        <v>49674.500806312266</v>
      </c>
      <c r="H17" s="27">
        <v>4.3744449704502717</v>
      </c>
      <c r="I17" s="23">
        <v>23022.003758477771</v>
      </c>
      <c r="J17" s="27">
        <v>7.1023943350107226</v>
      </c>
      <c r="K17" s="30">
        <v>7516.6397657582456</v>
      </c>
      <c r="L17" s="22">
        <v>12.95762512109644</v>
      </c>
      <c r="M17" s="30">
        <v>8301.5077502638214</v>
      </c>
      <c r="N17" s="27">
        <v>12.344640490080112</v>
      </c>
      <c r="O17" s="23">
        <v>10834.349531812313</v>
      </c>
      <c r="P17" s="27">
        <v>10.674238269280231</v>
      </c>
      <c r="Q17" s="30">
        <v>919.28556786012564</v>
      </c>
      <c r="R17" s="22">
        <v>39.127372611009321</v>
      </c>
      <c r="S17" s="30">
        <v>4498.0745574954017</v>
      </c>
      <c r="T17" s="27">
        <v>17.102498050551784</v>
      </c>
      <c r="U17" s="23">
        <v>5035.2404054238423</v>
      </c>
      <c r="V17" s="27">
        <v>16.157576262891933</v>
      </c>
      <c r="W17" s="30">
        <v>24479.42338064871</v>
      </c>
      <c r="X17" s="22">
        <v>6.596260809571433</v>
      </c>
      <c r="Y17" s="30">
        <v>1617.4752822595983</v>
      </c>
      <c r="Z17" s="27">
        <v>29.389162141773177</v>
      </c>
    </row>
    <row r="18" spans="1:26" x14ac:dyDescent="0.25">
      <c r="A18" s="90" t="str">
        <f>VLOOKUP("&lt;T2Zeilentitel_3&gt;",Uebersetzungen!$B$3:$E$194,Uebersetzungen!$B$2+1,FALSE)</f>
        <v>Alter</v>
      </c>
      <c r="B18" s="90" t="str">
        <f>VLOOKUP("&lt;T2Zeilentitel_3.1&gt;",Uebersetzungen!$B$3:$E$194,Uebersetzungen!$B$2+1,FALSE)</f>
        <v>15-24</v>
      </c>
      <c r="C18" s="91">
        <v>18891.000000000182</v>
      </c>
      <c r="D18" s="92">
        <v>8.1326481053992321</v>
      </c>
      <c r="E18" s="93">
        <v>10069.268886305763</v>
      </c>
      <c r="F18" s="94">
        <v>11.555873346137989</v>
      </c>
      <c r="G18" s="93">
        <v>9667.7748313238117</v>
      </c>
      <c r="H18" s="92">
        <v>11.78626097906268</v>
      </c>
      <c r="I18" s="95">
        <v>8113.8245625059008</v>
      </c>
      <c r="J18" s="92">
        <v>12.976172078314304</v>
      </c>
      <c r="K18" s="93">
        <v>393.15926738809458</v>
      </c>
      <c r="L18" s="94">
        <v>58.333568672936927</v>
      </c>
      <c r="M18" s="93">
        <v>226.18940850815807</v>
      </c>
      <c r="N18" s="92">
        <v>79.048200691035632</v>
      </c>
      <c r="O18" s="95">
        <v>934.60159292165508</v>
      </c>
      <c r="P18" s="92">
        <v>37.901933718010476</v>
      </c>
      <c r="Q18" s="93">
        <v>401.49405498194881</v>
      </c>
      <c r="R18" s="94">
        <v>61.745323896628051</v>
      </c>
      <c r="S18" s="93">
        <v>7790.4334515122282</v>
      </c>
      <c r="T18" s="92">
        <v>12.893277364595951</v>
      </c>
      <c r="U18" s="95" t="s">
        <v>331</v>
      </c>
      <c r="V18" s="92" t="s">
        <v>331</v>
      </c>
      <c r="W18" s="93" t="s">
        <v>331</v>
      </c>
      <c r="X18" s="94" t="s">
        <v>331</v>
      </c>
      <c r="Y18" s="93">
        <v>1031.2976621821952</v>
      </c>
      <c r="Z18" s="92">
        <v>36.887462067717351</v>
      </c>
    </row>
    <row r="19" spans="1:26" x14ac:dyDescent="0.25">
      <c r="A19" s="50"/>
      <c r="B19" s="50" t="str">
        <f>VLOOKUP("&lt;T2Zeilentitel_3.2&gt;",Uebersetzungen!$B$3:$E$194,Uebersetzungen!$B$2+1,FALSE)</f>
        <v>25-44</v>
      </c>
      <c r="C19" s="21">
        <v>50864.000000000393</v>
      </c>
      <c r="D19" s="27">
        <v>4.4311277725070441</v>
      </c>
      <c r="E19" s="30">
        <v>45901.198232712173</v>
      </c>
      <c r="F19" s="22">
        <v>4.7340871876341941</v>
      </c>
      <c r="G19" s="30">
        <v>44851.960709565974</v>
      </c>
      <c r="H19" s="27">
        <v>4.7992897179590832</v>
      </c>
      <c r="I19" s="23">
        <v>31201.360466375972</v>
      </c>
      <c r="J19" s="27">
        <v>6.0718058241745823</v>
      </c>
      <c r="K19" s="31">
        <v>4797.1398512658288</v>
      </c>
      <c r="L19" s="25">
        <v>16.558035048559098</v>
      </c>
      <c r="M19" s="30">
        <v>3547.4756214754598</v>
      </c>
      <c r="N19" s="27">
        <v>19.212344425139086</v>
      </c>
      <c r="O19" s="23">
        <v>5305.9847704487483</v>
      </c>
      <c r="P19" s="27">
        <v>15.650990529000589</v>
      </c>
      <c r="Q19" s="31">
        <v>1049.2375231462099</v>
      </c>
      <c r="R19" s="25">
        <v>38.110078154313051</v>
      </c>
      <c r="S19" s="31">
        <v>784.73719144067832</v>
      </c>
      <c r="T19" s="28">
        <v>44.551140479798683</v>
      </c>
      <c r="U19" s="24">
        <v>2307.3364818905311</v>
      </c>
      <c r="V19" s="28">
        <v>24.108181593861488</v>
      </c>
      <c r="W19" s="30">
        <v>737.39404121317148</v>
      </c>
      <c r="X19" s="22">
        <v>45.708503337344098</v>
      </c>
      <c r="Y19" s="31">
        <v>1133.3340527438006</v>
      </c>
      <c r="Z19" s="28">
        <v>36.563350738218062</v>
      </c>
    </row>
    <row r="20" spans="1:26" x14ac:dyDescent="0.25">
      <c r="A20" s="50"/>
      <c r="B20" s="50" t="str">
        <f>VLOOKUP("&lt;T2Zeilentitel_3.3&gt;",Uebersetzungen!$B$3:$E$194,Uebersetzungen!$B$2+1,FALSE)</f>
        <v>45-64</v>
      </c>
      <c r="C20" s="21">
        <v>59080.000000000233</v>
      </c>
      <c r="D20" s="27">
        <v>3.8848078343530656</v>
      </c>
      <c r="E20" s="30">
        <v>50282.688359203064</v>
      </c>
      <c r="F20" s="22">
        <v>4.350026246455414</v>
      </c>
      <c r="G20" s="30">
        <v>49459.837402755053</v>
      </c>
      <c r="H20" s="27">
        <v>4.39615730160462</v>
      </c>
      <c r="I20" s="23">
        <v>32676.935324649217</v>
      </c>
      <c r="J20" s="27">
        <v>5.7622834591611243</v>
      </c>
      <c r="K20" s="30">
        <v>5309.7155792143676</v>
      </c>
      <c r="L20" s="22">
        <v>15.50837297858939</v>
      </c>
      <c r="M20" s="30">
        <v>6294.1168718763856</v>
      </c>
      <c r="N20" s="27">
        <v>14.307184564431305</v>
      </c>
      <c r="O20" s="23">
        <v>5179.069627015072</v>
      </c>
      <c r="P20" s="27">
        <v>15.793165389587365</v>
      </c>
      <c r="Q20" s="30">
        <v>822.85095644799753</v>
      </c>
      <c r="R20" s="22">
        <v>41.828973365724011</v>
      </c>
      <c r="S20" s="30" t="s">
        <v>331</v>
      </c>
      <c r="T20" s="27" t="s">
        <v>331</v>
      </c>
      <c r="U20" s="23">
        <v>3087.5324453991466</v>
      </c>
      <c r="V20" s="27">
        <v>20.874309060787898</v>
      </c>
      <c r="W20" s="30">
        <v>4105.3343236568635</v>
      </c>
      <c r="X20" s="22">
        <v>18.16908294254544</v>
      </c>
      <c r="Y20" s="30">
        <v>1604.4448717411801</v>
      </c>
      <c r="Z20" s="27">
        <v>29.287346384619031</v>
      </c>
    </row>
    <row r="21" spans="1:26" x14ac:dyDescent="0.25">
      <c r="A21" s="50"/>
      <c r="B21" s="50" t="str">
        <f>VLOOKUP("&lt;T2Zeilentitel_3.4&gt;",Uebersetzungen!$B$3:$E$194,Uebersetzungen!$B$2+1,FALSE)</f>
        <v>65 und mehr</v>
      </c>
      <c r="C21" s="21">
        <v>44152.000000000509</v>
      </c>
      <c r="D21" s="27">
        <v>4.5017942121198438</v>
      </c>
      <c r="E21" s="30">
        <v>3537.0320902765839</v>
      </c>
      <c r="F21" s="22">
        <v>18.346560168031488</v>
      </c>
      <c r="G21" s="30">
        <v>3537.0320902765839</v>
      </c>
      <c r="H21" s="27">
        <v>18.346560168031488</v>
      </c>
      <c r="I21" s="23">
        <v>817.95814668047308</v>
      </c>
      <c r="J21" s="27">
        <v>38.631871523967355</v>
      </c>
      <c r="K21" s="30">
        <v>196.25716409006785</v>
      </c>
      <c r="L21" s="22">
        <v>79.066748621348893</v>
      </c>
      <c r="M21" s="30">
        <v>482.88978561569871</v>
      </c>
      <c r="N21" s="27">
        <v>49.88196878437595</v>
      </c>
      <c r="O21" s="23">
        <v>2039.9269938903469</v>
      </c>
      <c r="P21" s="27">
        <v>24.253515213286693</v>
      </c>
      <c r="Q21" s="30" t="s">
        <v>331</v>
      </c>
      <c r="R21" s="22" t="s">
        <v>331</v>
      </c>
      <c r="S21" s="31" t="s">
        <v>331</v>
      </c>
      <c r="T21" s="28" t="s">
        <v>331</v>
      </c>
      <c r="U21" s="24" t="s">
        <v>331</v>
      </c>
      <c r="V21" s="28" t="s">
        <v>331</v>
      </c>
      <c r="W21" s="30">
        <v>40482.45810341851</v>
      </c>
      <c r="X21" s="22">
        <v>4.776965200819709</v>
      </c>
      <c r="Y21" s="31" t="s">
        <v>331</v>
      </c>
      <c r="Z21" s="28" t="s">
        <v>331</v>
      </c>
    </row>
    <row r="22" spans="1:26" x14ac:dyDescent="0.25">
      <c r="A22" s="90" t="str">
        <f>VLOOKUP("&lt;T2Zeilentitel_4&gt;",Uebersetzungen!$B$3:$E$194,Uebersetzungen!$B$2+1,FALSE)</f>
        <v>Staatsangehörigkeit</v>
      </c>
      <c r="B22" s="90" t="str">
        <f>VLOOKUP("&lt;T2Zeilentitel_4.1&gt;",Uebersetzungen!$B$3:$E$194,Uebersetzungen!$B$2+1,FALSE)</f>
        <v>Schweiz</v>
      </c>
      <c r="C22" s="91">
        <v>139204.00000000079</v>
      </c>
      <c r="D22" s="92">
        <v>1.2994587979742216</v>
      </c>
      <c r="E22" s="93">
        <v>83733.634501931549</v>
      </c>
      <c r="F22" s="94">
        <v>2.8457921431631368</v>
      </c>
      <c r="G22" s="93">
        <v>82533.454274684555</v>
      </c>
      <c r="H22" s="92">
        <v>2.8833812738239377</v>
      </c>
      <c r="I22" s="95">
        <v>53045.55578106521</v>
      </c>
      <c r="J22" s="92">
        <v>4.1474903495133724</v>
      </c>
      <c r="K22" s="93">
        <v>8816.7358099822668</v>
      </c>
      <c r="L22" s="94">
        <v>11.914025924646571</v>
      </c>
      <c r="M22" s="93">
        <v>8576.7677858911684</v>
      </c>
      <c r="N22" s="92">
        <v>12.064849597482819</v>
      </c>
      <c r="O22" s="95">
        <v>12094.394897745984</v>
      </c>
      <c r="P22" s="92">
        <v>9.9944883502502773</v>
      </c>
      <c r="Q22" s="97">
        <v>1200.1802272469922</v>
      </c>
      <c r="R22" s="98">
        <v>33.894030002837404</v>
      </c>
      <c r="S22" s="93">
        <v>7106.4458465231191</v>
      </c>
      <c r="T22" s="92">
        <v>13.334286455827929</v>
      </c>
      <c r="U22" s="99">
        <v>4036.3936492991288</v>
      </c>
      <c r="V22" s="100">
        <v>17.930645000291921</v>
      </c>
      <c r="W22" s="93">
        <v>41657.907196927998</v>
      </c>
      <c r="X22" s="94">
        <v>4.6974662630272457</v>
      </c>
      <c r="Y22" s="97">
        <v>2669.618805318918</v>
      </c>
      <c r="Z22" s="100">
        <v>22.674831572386505</v>
      </c>
    </row>
    <row r="23" spans="1:26" x14ac:dyDescent="0.25">
      <c r="A23" s="50"/>
      <c r="B23" s="50" t="str">
        <f>VLOOKUP("&lt;T2Zeilentitel_4.2&gt;",Uebersetzungen!$B$3:$E$194,Uebersetzungen!$B$2+1,FALSE)</f>
        <v>EU28 und EFTA</v>
      </c>
      <c r="C23" s="21">
        <v>27064.983765801462</v>
      </c>
      <c r="D23" s="27">
        <v>6.8207002529804273</v>
      </c>
      <c r="E23" s="30">
        <v>21239.259026642958</v>
      </c>
      <c r="F23" s="22">
        <v>7.8509669743980419</v>
      </c>
      <c r="G23" s="30">
        <v>20642.615116507011</v>
      </c>
      <c r="H23" s="27">
        <v>7.9649983048377582</v>
      </c>
      <c r="I23" s="23">
        <v>16792.669235790901</v>
      </c>
      <c r="J23" s="27">
        <v>8.977860724941447</v>
      </c>
      <c r="K23" s="30">
        <v>1610.198798740555</v>
      </c>
      <c r="L23" s="22">
        <v>29.200278615979528</v>
      </c>
      <c r="M23" s="30">
        <v>1481.9546896528839</v>
      </c>
      <c r="N23" s="27">
        <v>30.655217882133186</v>
      </c>
      <c r="O23" s="23">
        <v>757.79239232267014</v>
      </c>
      <c r="P23" s="27">
        <v>43.451075708136649</v>
      </c>
      <c r="Q23" s="31">
        <v>596.64391013595343</v>
      </c>
      <c r="R23" s="25">
        <v>51.901511327899698</v>
      </c>
      <c r="S23" s="31">
        <v>1152.7603265876207</v>
      </c>
      <c r="T23" s="28">
        <v>36.772182947405391</v>
      </c>
      <c r="U23" s="24">
        <v>960.44222822669576</v>
      </c>
      <c r="V23" s="28">
        <v>38.797810227212949</v>
      </c>
      <c r="W23" s="30">
        <v>3069.598629206334</v>
      </c>
      <c r="X23" s="22">
        <v>21.028740968885032</v>
      </c>
      <c r="Y23" s="31">
        <v>642.92355513784366</v>
      </c>
      <c r="Z23" s="28">
        <v>48.382374999388695</v>
      </c>
    </row>
    <row r="24" spans="1:26" x14ac:dyDescent="0.25">
      <c r="A24" s="50"/>
      <c r="B24" s="50" t="str">
        <f>VLOOKUP("&lt;T2Zeilentitel_4.3&gt;",Uebersetzungen!$B$3:$E$194,Uebersetzungen!$B$2+1,FALSE)</f>
        <v>Andere europäische Staaten</v>
      </c>
      <c r="C24" s="21">
        <v>3125.918260586051</v>
      </c>
      <c r="D24" s="27">
        <v>22.433578658784249</v>
      </c>
      <c r="E24" s="30">
        <v>2187.6673990598833</v>
      </c>
      <c r="F24" s="22">
        <v>27.061085827176576</v>
      </c>
      <c r="G24" s="30">
        <v>2042.9742457890352</v>
      </c>
      <c r="H24" s="27">
        <v>27.883151269538786</v>
      </c>
      <c r="I24" s="23">
        <v>1419.483824040796</v>
      </c>
      <c r="J24" s="27">
        <v>34.090222326473942</v>
      </c>
      <c r="K24" s="30" t="s">
        <v>331</v>
      </c>
      <c r="L24" s="22" t="s">
        <v>331</v>
      </c>
      <c r="M24" s="30">
        <v>313.33454177642506</v>
      </c>
      <c r="N24" s="27">
        <v>68.578126859900664</v>
      </c>
      <c r="O24" s="23" t="s">
        <v>331</v>
      </c>
      <c r="P24" s="27" t="s">
        <v>331</v>
      </c>
      <c r="Q24" s="30" t="s">
        <v>331</v>
      </c>
      <c r="R24" s="22" t="s">
        <v>331</v>
      </c>
      <c r="S24" s="30" t="s">
        <v>331</v>
      </c>
      <c r="T24" s="27" t="s">
        <v>331</v>
      </c>
      <c r="U24" s="23">
        <v>230.47538682598676</v>
      </c>
      <c r="V24" s="27">
        <v>79.583120295980748</v>
      </c>
      <c r="W24" s="30">
        <v>470.8812414002154</v>
      </c>
      <c r="X24" s="22">
        <v>58.565097717110696</v>
      </c>
      <c r="Y24" s="30" t="s">
        <v>331</v>
      </c>
      <c r="Z24" s="27" t="s">
        <v>331</v>
      </c>
    </row>
    <row r="25" spans="1:26" x14ac:dyDescent="0.25">
      <c r="A25" s="50"/>
      <c r="B25" s="50" t="str">
        <f>VLOOKUP("&lt;T2Zeilentitel_4.4&gt;",Uebersetzungen!$B$3:$E$194,Uebersetzungen!$B$2+1,FALSE)</f>
        <v>Andere Staaten</v>
      </c>
      <c r="C25" s="21">
        <v>3592.0979736129125</v>
      </c>
      <c r="D25" s="27">
        <v>20.785204303073488</v>
      </c>
      <c r="E25" s="30">
        <v>2629.6266408630327</v>
      </c>
      <c r="F25" s="22">
        <v>24.086911612704139</v>
      </c>
      <c r="G25" s="30">
        <v>2297.56139694067</v>
      </c>
      <c r="H25" s="27">
        <v>25.761238859116101</v>
      </c>
      <c r="I25" s="23">
        <v>1552.3696593145687</v>
      </c>
      <c r="J25" s="27">
        <v>31.642776001761824</v>
      </c>
      <c r="K25" s="30" t="s">
        <v>331</v>
      </c>
      <c r="L25" s="22" t="s">
        <v>331</v>
      </c>
      <c r="M25" s="30">
        <v>178.61467015522541</v>
      </c>
      <c r="N25" s="27">
        <v>87.314859990886447</v>
      </c>
      <c r="O25" s="23">
        <v>449.63725845513983</v>
      </c>
      <c r="P25" s="27">
        <v>58.63744509561328</v>
      </c>
      <c r="Q25" s="30">
        <v>332.06524392236253</v>
      </c>
      <c r="R25" s="22">
        <v>68.690070048397061</v>
      </c>
      <c r="S25" s="30">
        <v>329.85920956130445</v>
      </c>
      <c r="T25" s="27">
        <v>73.904612034757434</v>
      </c>
      <c r="U25" s="23" t="s">
        <v>331</v>
      </c>
      <c r="V25" s="27" t="s">
        <v>331</v>
      </c>
      <c r="W25" s="30" t="s">
        <v>331</v>
      </c>
      <c r="X25" s="22" t="s">
        <v>331</v>
      </c>
      <c r="Y25" s="30">
        <v>338.2550594967297</v>
      </c>
      <c r="Z25" s="27">
        <v>68.9533801323321</v>
      </c>
    </row>
    <row r="26" spans="1:26" x14ac:dyDescent="0.25">
      <c r="A26" s="50"/>
      <c r="B26" s="50" t="str">
        <f>VLOOKUP("&lt;T2Zeilentitel_4.5&gt;",Uebersetzungen!$B$3:$E$194,Uebersetzungen!$B$2+1,FALSE)</f>
        <v>Staatsangehörigkeit unbekannt</v>
      </c>
      <c r="C26" s="21" t="s">
        <v>331</v>
      </c>
      <c r="D26" s="27" t="s">
        <v>331</v>
      </c>
      <c r="E26" s="30" t="s">
        <v>331</v>
      </c>
      <c r="F26" s="22" t="s">
        <v>331</v>
      </c>
      <c r="G26" s="30" t="s">
        <v>331</v>
      </c>
      <c r="H26" s="27" t="s">
        <v>331</v>
      </c>
      <c r="I26" s="23" t="s">
        <v>331</v>
      </c>
      <c r="J26" s="27" t="s">
        <v>331</v>
      </c>
      <c r="K26" s="30" t="s">
        <v>331</v>
      </c>
      <c r="L26" s="22" t="s">
        <v>331</v>
      </c>
      <c r="M26" s="30" t="s">
        <v>331</v>
      </c>
      <c r="N26" s="27" t="s">
        <v>331</v>
      </c>
      <c r="O26" s="23" t="s">
        <v>331</v>
      </c>
      <c r="P26" s="27" t="s">
        <v>331</v>
      </c>
      <c r="Q26" s="30" t="s">
        <v>331</v>
      </c>
      <c r="R26" s="22" t="s">
        <v>331</v>
      </c>
      <c r="S26" s="30" t="s">
        <v>331</v>
      </c>
      <c r="T26" s="27" t="s">
        <v>331</v>
      </c>
      <c r="U26" s="23" t="s">
        <v>331</v>
      </c>
      <c r="V26" s="27" t="s">
        <v>331</v>
      </c>
      <c r="W26" s="30" t="s">
        <v>331</v>
      </c>
      <c r="X26" s="22" t="s">
        <v>331</v>
      </c>
      <c r="Y26" s="30" t="s">
        <v>331</v>
      </c>
      <c r="Z26" s="27" t="s">
        <v>331</v>
      </c>
    </row>
    <row r="27" spans="1:26" x14ac:dyDescent="0.25">
      <c r="A27" s="90" t="str">
        <f>VLOOKUP("&lt;T2Zeilentitel_5&gt;",Uebersetzungen!$B$3:$E$194,Uebersetzungen!$B$2+1,FALSE)</f>
        <v>Migrationsstatus</v>
      </c>
      <c r="B27" s="90" t="str">
        <f>VLOOKUP("&lt;T2Zeilentitel_5.1&gt;",Uebersetzungen!$B$3:$E$194,Uebersetzungen!$B$2+1,FALSE)</f>
        <v>Schweizer/innen ohne Migrationshintergrund</v>
      </c>
      <c r="C27" s="91">
        <v>122616.61450815981</v>
      </c>
      <c r="D27" s="92">
        <v>1.7145052831186451</v>
      </c>
      <c r="E27" s="93">
        <v>73731.795003449282</v>
      </c>
      <c r="F27" s="94">
        <v>3.197248670768154</v>
      </c>
      <c r="G27" s="93">
        <v>72667.127643279033</v>
      </c>
      <c r="H27" s="92">
        <v>3.2354314805134106</v>
      </c>
      <c r="I27" s="95">
        <v>47062.104672692389</v>
      </c>
      <c r="J27" s="92">
        <v>4.5128486327115036</v>
      </c>
      <c r="K27" s="93">
        <v>7733.0511612617574</v>
      </c>
      <c r="L27" s="94">
        <v>12.767900563707364</v>
      </c>
      <c r="M27" s="93">
        <v>7206.6140274229037</v>
      </c>
      <c r="N27" s="92">
        <v>13.212023053344932</v>
      </c>
      <c r="O27" s="95">
        <v>10665.357781902081</v>
      </c>
      <c r="P27" s="92">
        <v>10.666124554190437</v>
      </c>
      <c r="Q27" s="93">
        <v>1064.6673601702664</v>
      </c>
      <c r="R27" s="94">
        <v>36.040230266550807</v>
      </c>
      <c r="S27" s="93">
        <v>6393.8951315389768</v>
      </c>
      <c r="T27" s="92">
        <v>14.116128644572632</v>
      </c>
      <c r="U27" s="95">
        <v>3390.2785136612129</v>
      </c>
      <c r="V27" s="92">
        <v>19.581372095026239</v>
      </c>
      <c r="W27" s="93">
        <v>36750.902449006389</v>
      </c>
      <c r="X27" s="94">
        <v>5.0962222931683456</v>
      </c>
      <c r="Y27" s="93">
        <v>2349.7434105038369</v>
      </c>
      <c r="Z27" s="92">
        <v>24.207598193789746</v>
      </c>
    </row>
    <row r="28" spans="1:26" x14ac:dyDescent="0.25">
      <c r="A28" s="50"/>
      <c r="B28" s="50" t="str">
        <f>VLOOKUP("&lt;T2Zeilentitel_5.2&gt;",Uebersetzungen!$B$3:$E$194,Uebersetzungen!$B$2+1,FALSE)</f>
        <v>Schweizer/innen mit Migrationshintergrund</v>
      </c>
      <c r="C28" s="21">
        <v>15629.546250560872</v>
      </c>
      <c r="D28" s="27">
        <v>8.6791579709556217</v>
      </c>
      <c r="E28" s="30">
        <v>9311.84026506173</v>
      </c>
      <c r="F28" s="22">
        <v>11.556675806870738</v>
      </c>
      <c r="G28" s="30">
        <v>9176.3273979850055</v>
      </c>
      <c r="H28" s="27">
        <v>11.6431167836183</v>
      </c>
      <c r="I28" s="23">
        <v>5538.7649843169856</v>
      </c>
      <c r="J28" s="27">
        <v>15.103246801672782</v>
      </c>
      <c r="K28" s="30">
        <v>1012.0536275194715</v>
      </c>
      <c r="L28" s="22">
        <v>35.872989043514629</v>
      </c>
      <c r="M28" s="30">
        <v>1230.8038065313515</v>
      </c>
      <c r="N28" s="27">
        <v>32.630307783659291</v>
      </c>
      <c r="O28" s="23">
        <v>1394.7049796171982</v>
      </c>
      <c r="P28" s="27">
        <v>30.912754924345386</v>
      </c>
      <c r="Q28" s="30" t="s">
        <v>331</v>
      </c>
      <c r="R28" s="22" t="s">
        <v>331</v>
      </c>
      <c r="S28" s="30">
        <v>712.55071498414395</v>
      </c>
      <c r="T28" s="27">
        <v>42.155056280515247</v>
      </c>
      <c r="U28" s="23">
        <v>646.11513563791414</v>
      </c>
      <c r="V28" s="27">
        <v>45.501563507378116</v>
      </c>
      <c r="W28" s="30">
        <v>4677.0440317252333</v>
      </c>
      <c r="X28" s="22">
        <v>16.129360601695609</v>
      </c>
      <c r="Y28" s="30">
        <v>281.9961031518481</v>
      </c>
      <c r="Z28" s="27">
        <v>69.74063641270773</v>
      </c>
    </row>
    <row r="29" spans="1:26" x14ac:dyDescent="0.25">
      <c r="A29" s="50"/>
      <c r="B29" s="50" t="str">
        <f>VLOOKUP("&lt;T2Zeilentitel_5.3&gt;",Uebersetzungen!$B$3:$E$194,Uebersetzungen!$B$2+1,FALSE)</f>
        <v>Ausländer/innen der ersten Generation</v>
      </c>
      <c r="C29" s="21">
        <v>31359.402603251583</v>
      </c>
      <c r="D29" s="27">
        <v>6.3087876246097734</v>
      </c>
      <c r="E29" s="30">
        <v>24553.427957750573</v>
      </c>
      <c r="F29" s="22">
        <v>7.2810990295482707</v>
      </c>
      <c r="G29" s="30">
        <v>23572.407097970074</v>
      </c>
      <c r="H29" s="27">
        <v>7.4371018200852976</v>
      </c>
      <c r="I29" s="23">
        <v>18672.994696686535</v>
      </c>
      <c r="J29" s="27">
        <v>8.5186979006598076</v>
      </c>
      <c r="K29" s="30">
        <v>1775.4107422656771</v>
      </c>
      <c r="L29" s="22">
        <v>27.948011947738202</v>
      </c>
      <c r="M29" s="30">
        <v>1902.5417893029016</v>
      </c>
      <c r="N29" s="27">
        <v>27.124622350890803</v>
      </c>
      <c r="O29" s="23">
        <v>1221.4598697149765</v>
      </c>
      <c r="P29" s="27">
        <v>34.884620398770238</v>
      </c>
      <c r="Q29" s="30">
        <v>981.02085978050036</v>
      </c>
      <c r="R29" s="22">
        <v>40.500370364998297</v>
      </c>
      <c r="S29" s="30">
        <v>976.67244167444846</v>
      </c>
      <c r="T29" s="27">
        <v>41.589305464577329</v>
      </c>
      <c r="U29" s="23">
        <v>1243.475300788642</v>
      </c>
      <c r="V29" s="27">
        <v>34.323506373008726</v>
      </c>
      <c r="W29" s="30">
        <v>3572.331353287334</v>
      </c>
      <c r="X29" s="22">
        <v>19.657926195866803</v>
      </c>
      <c r="Y29" s="31">
        <v>1013.4955497505689</v>
      </c>
      <c r="Z29" s="28">
        <v>38.784089856837547</v>
      </c>
    </row>
    <row r="30" spans="1:26" ht="25" x14ac:dyDescent="0.25">
      <c r="A30" s="50"/>
      <c r="B30" s="50" t="str">
        <f>VLOOKUP("&lt;T2Zeilentitel_5.4&gt;",Uebersetzungen!$B$3:$E$194,Uebersetzungen!$B$2+1,FALSE)</f>
        <v>Ausländer/innen der zweiten und höheren Generation</v>
      </c>
      <c r="C30" s="21">
        <v>2340.085210106819</v>
      </c>
      <c r="D30" s="27">
        <v>25.364680650187385</v>
      </c>
      <c r="E30" s="30">
        <v>1462.036702536401</v>
      </c>
      <c r="F30" s="22">
        <v>32.206171945693391</v>
      </c>
      <c r="G30" s="30">
        <v>1410.7436612666393</v>
      </c>
      <c r="H30" s="27">
        <v>32.638101577803944</v>
      </c>
      <c r="I30" s="23">
        <v>1091.5280224597452</v>
      </c>
      <c r="J30" s="27">
        <v>37.755985562716319</v>
      </c>
      <c r="K30" s="30" t="s">
        <v>331</v>
      </c>
      <c r="L30" s="22" t="s">
        <v>331</v>
      </c>
      <c r="M30" s="30" t="s">
        <v>331</v>
      </c>
      <c r="N30" s="27" t="s">
        <v>331</v>
      </c>
      <c r="O30" s="23" t="s">
        <v>331</v>
      </c>
      <c r="P30" s="27" t="s">
        <v>331</v>
      </c>
      <c r="Q30" s="31" t="s">
        <v>331</v>
      </c>
      <c r="R30" s="25" t="s">
        <v>331</v>
      </c>
      <c r="S30" s="30">
        <v>582.13838069762573</v>
      </c>
      <c r="T30" s="27">
        <v>50.115710453335943</v>
      </c>
      <c r="U30" s="23" t="s">
        <v>331</v>
      </c>
      <c r="V30" s="27" t="s">
        <v>331</v>
      </c>
      <c r="W30" s="30" t="s">
        <v>331</v>
      </c>
      <c r="X30" s="22" t="s">
        <v>331</v>
      </c>
      <c r="Y30" s="31" t="s">
        <v>331</v>
      </c>
      <c r="Z30" s="28" t="s">
        <v>331</v>
      </c>
    </row>
    <row r="31" spans="1:26" x14ac:dyDescent="0.25">
      <c r="A31" s="50"/>
      <c r="B31" s="50" t="str">
        <f>VLOOKUP("&lt;T2Zeilentitel_5.5&gt;",Uebersetzungen!$B$3:$E$194,Uebersetzungen!$B$2+1,FALSE)</f>
        <v>Migrationshintergrund unbekannt</v>
      </c>
      <c r="C31" s="21">
        <v>1041.351427922137</v>
      </c>
      <c r="D31" s="27">
        <v>35.886950195120704</v>
      </c>
      <c r="E31" s="30">
        <v>731.08763969942004</v>
      </c>
      <c r="F31" s="22">
        <v>43.201101091291896</v>
      </c>
      <c r="G31" s="30">
        <v>689.99923342051773</v>
      </c>
      <c r="H31" s="27">
        <v>44.314569623584681</v>
      </c>
      <c r="I31" s="23">
        <v>444.6861240558552</v>
      </c>
      <c r="J31" s="27">
        <v>55.787035204824484</v>
      </c>
      <c r="K31" s="31" t="s">
        <v>331</v>
      </c>
      <c r="L31" s="25" t="s">
        <v>331</v>
      </c>
      <c r="M31" s="31" t="s">
        <v>331</v>
      </c>
      <c r="N31" s="28" t="s">
        <v>331</v>
      </c>
      <c r="O31" s="24" t="s">
        <v>331</v>
      </c>
      <c r="P31" s="28" t="s">
        <v>331</v>
      </c>
      <c r="Q31" s="30" t="s">
        <v>331</v>
      </c>
      <c r="R31" s="22" t="s">
        <v>331</v>
      </c>
      <c r="S31" s="31" t="s">
        <v>331</v>
      </c>
      <c r="T31" s="28" t="s">
        <v>331</v>
      </c>
      <c r="U31" s="24" t="s">
        <v>331</v>
      </c>
      <c r="V31" s="28" t="s">
        <v>331</v>
      </c>
      <c r="W31" s="30">
        <v>229.96071619635276</v>
      </c>
      <c r="X31" s="22">
        <v>73.034476282442284</v>
      </c>
      <c r="Y31" s="31" t="s">
        <v>331</v>
      </c>
      <c r="Z31" s="28" t="s">
        <v>331</v>
      </c>
    </row>
    <row r="32" spans="1:26" ht="12.75" customHeight="1" x14ac:dyDescent="0.25">
      <c r="A32" s="90" t="str">
        <f>VLOOKUP("&lt;T2Zeilentitel_6&gt;",Uebersetzungen!$B$3:$E$194,Uebersetzungen!$B$2+1,FALSE)</f>
        <v>Sozioprofessionelle Kategorien</v>
      </c>
      <c r="B32" s="90" t="str">
        <f>VLOOKUP("&lt;T2Zeilentitel_6.1&gt;",Uebersetzungen!$B$3:$E$194,Uebersetzungen!$B$2+1,FALSE)</f>
        <v>Oberstes Management</v>
      </c>
      <c r="C32" s="91">
        <v>2953.394814595415</v>
      </c>
      <c r="D32" s="92">
        <v>20.757746539864392</v>
      </c>
      <c r="E32" s="93">
        <v>2953.3948145954159</v>
      </c>
      <c r="F32" s="94">
        <v>20.757746539864385</v>
      </c>
      <c r="G32" s="93">
        <v>2953.3948145954159</v>
      </c>
      <c r="H32" s="92">
        <v>20.757746539864385</v>
      </c>
      <c r="I32" s="95">
        <v>2688.8408379084785</v>
      </c>
      <c r="J32" s="92">
        <v>21.820493792132829</v>
      </c>
      <c r="K32" s="93" t="s">
        <v>331</v>
      </c>
      <c r="L32" s="94" t="s">
        <v>331</v>
      </c>
      <c r="M32" s="93" t="s">
        <v>331</v>
      </c>
      <c r="N32" s="92" t="s">
        <v>331</v>
      </c>
      <c r="O32" s="95" t="s">
        <v>331</v>
      </c>
      <c r="P32" s="92" t="s">
        <v>331</v>
      </c>
      <c r="Q32" s="93" t="s">
        <v>331</v>
      </c>
      <c r="R32" s="94" t="s">
        <v>331</v>
      </c>
      <c r="S32" s="93" t="s">
        <v>331</v>
      </c>
      <c r="T32" s="92" t="s">
        <v>331</v>
      </c>
      <c r="U32" s="95" t="s">
        <v>331</v>
      </c>
      <c r="V32" s="92" t="s">
        <v>331</v>
      </c>
      <c r="W32" s="93" t="s">
        <v>331</v>
      </c>
      <c r="X32" s="94" t="s">
        <v>331</v>
      </c>
      <c r="Y32" s="93" t="s">
        <v>331</v>
      </c>
      <c r="Z32" s="92" t="s">
        <v>331</v>
      </c>
    </row>
    <row r="33" spans="1:26" x14ac:dyDescent="0.25">
      <c r="A33" s="50"/>
      <c r="B33" s="50" t="str">
        <f>VLOOKUP("&lt;T2Zeilentitel_6.2&gt;",Uebersetzungen!$B$3:$E$194,Uebersetzungen!$B$2+1,FALSE)</f>
        <v>Freie und gleichgestellte Berufe</v>
      </c>
      <c r="C33" s="21">
        <v>2954.6168063002133</v>
      </c>
      <c r="D33" s="27">
        <v>20.718263642941842</v>
      </c>
      <c r="E33" s="30">
        <v>2954.6168063002165</v>
      </c>
      <c r="F33" s="22">
        <v>20.718263642941835</v>
      </c>
      <c r="G33" s="30">
        <v>2954.6168063002165</v>
      </c>
      <c r="H33" s="27">
        <v>20.718263642941835</v>
      </c>
      <c r="I33" s="23">
        <v>1999.4389876524465</v>
      </c>
      <c r="J33" s="27">
        <v>25.289569391996611</v>
      </c>
      <c r="K33" s="30">
        <v>413.73244846137015</v>
      </c>
      <c r="L33" s="22">
        <v>55.935806648158888</v>
      </c>
      <c r="M33" s="30">
        <v>298.83733560874782</v>
      </c>
      <c r="N33" s="27">
        <v>64.484350635284684</v>
      </c>
      <c r="O33" s="23">
        <v>242.60803457764914</v>
      </c>
      <c r="P33" s="27">
        <v>73.390455197410205</v>
      </c>
      <c r="Q33" s="30" t="s">
        <v>331</v>
      </c>
      <c r="R33" s="22" t="s">
        <v>331</v>
      </c>
      <c r="S33" s="30" t="s">
        <v>331</v>
      </c>
      <c r="T33" s="27" t="s">
        <v>331</v>
      </c>
      <c r="U33" s="23" t="s">
        <v>331</v>
      </c>
      <c r="V33" s="27" t="s">
        <v>331</v>
      </c>
      <c r="W33" s="30" t="s">
        <v>331</v>
      </c>
      <c r="X33" s="22" t="s">
        <v>331</v>
      </c>
      <c r="Y33" s="30" t="s">
        <v>331</v>
      </c>
      <c r="Z33" s="27" t="s">
        <v>331</v>
      </c>
    </row>
    <row r="34" spans="1:26" x14ac:dyDescent="0.25">
      <c r="A34" s="50"/>
      <c r="B34" s="50" t="str">
        <f>VLOOKUP("&lt;T2Zeilentitel_6.3&gt;",Uebersetzungen!$B$3:$E$194,Uebersetzungen!$B$2+1,FALSE)</f>
        <v>Andere Selbstständige</v>
      </c>
      <c r="C34" s="21">
        <v>12636.193618091324</v>
      </c>
      <c r="D34" s="27">
        <v>9.9706743754828686</v>
      </c>
      <c r="E34" s="30">
        <v>12636.193618091322</v>
      </c>
      <c r="F34" s="22">
        <v>9.9706743754828704</v>
      </c>
      <c r="G34" s="30">
        <v>12636.193618091322</v>
      </c>
      <c r="H34" s="27">
        <v>9.9706743754828704</v>
      </c>
      <c r="I34" s="23">
        <v>9269.8655616621745</v>
      </c>
      <c r="J34" s="27">
        <v>11.81520714988222</v>
      </c>
      <c r="K34" s="30">
        <v>604.50884668615186</v>
      </c>
      <c r="L34" s="22">
        <v>46.829963882669801</v>
      </c>
      <c r="M34" s="30">
        <v>815.52969098973836</v>
      </c>
      <c r="N34" s="27">
        <v>40.281225569436195</v>
      </c>
      <c r="O34" s="23">
        <v>1946.2895187532574</v>
      </c>
      <c r="P34" s="27">
        <v>25.79903854276245</v>
      </c>
      <c r="Q34" s="30" t="s">
        <v>331</v>
      </c>
      <c r="R34" s="22" t="s">
        <v>331</v>
      </c>
      <c r="S34" s="30" t="s">
        <v>331</v>
      </c>
      <c r="T34" s="27" t="s">
        <v>331</v>
      </c>
      <c r="U34" s="23" t="s">
        <v>331</v>
      </c>
      <c r="V34" s="27" t="s">
        <v>331</v>
      </c>
      <c r="W34" s="30" t="s">
        <v>331</v>
      </c>
      <c r="X34" s="22" t="s">
        <v>331</v>
      </c>
      <c r="Y34" s="30" t="s">
        <v>331</v>
      </c>
      <c r="Z34" s="27" t="s">
        <v>331</v>
      </c>
    </row>
    <row r="35" spans="1:26" ht="12.75" customHeight="1" x14ac:dyDescent="0.25">
      <c r="A35" s="50"/>
      <c r="B35" s="50" t="str">
        <f>VLOOKUP("&lt;T2Zeilentitel_6.4&gt;",Uebersetzungen!$B$3:$E$194,Uebersetzungen!$B$2+1,FALSE)</f>
        <v>Akademische Berufe und oberes Kader</v>
      </c>
      <c r="C35" s="21">
        <v>14768.995519368742</v>
      </c>
      <c r="D35" s="27">
        <v>8.9235268938045991</v>
      </c>
      <c r="E35" s="30">
        <v>14768.995519368731</v>
      </c>
      <c r="F35" s="22">
        <v>8.9235268938046044</v>
      </c>
      <c r="G35" s="30">
        <v>14768.995519368731</v>
      </c>
      <c r="H35" s="27">
        <v>8.9235268938046044</v>
      </c>
      <c r="I35" s="23">
        <v>9745.5012390591473</v>
      </c>
      <c r="J35" s="27">
        <v>11.173859822398962</v>
      </c>
      <c r="K35" s="30">
        <v>1982.9636072927888</v>
      </c>
      <c r="L35" s="22">
        <v>25.306870200081068</v>
      </c>
      <c r="M35" s="30">
        <v>1260.9639225784442</v>
      </c>
      <c r="N35" s="27">
        <v>31.725712569787117</v>
      </c>
      <c r="O35" s="23">
        <v>1779.5667504383607</v>
      </c>
      <c r="P35" s="27">
        <v>26.726630183643394</v>
      </c>
      <c r="Q35" s="30" t="s">
        <v>331</v>
      </c>
      <c r="R35" s="22" t="s">
        <v>331</v>
      </c>
      <c r="S35" s="30" t="s">
        <v>331</v>
      </c>
      <c r="T35" s="27" t="s">
        <v>331</v>
      </c>
      <c r="U35" s="23" t="s">
        <v>331</v>
      </c>
      <c r="V35" s="27" t="s">
        <v>331</v>
      </c>
      <c r="W35" s="30" t="s">
        <v>331</v>
      </c>
      <c r="X35" s="22" t="s">
        <v>331</v>
      </c>
      <c r="Y35" s="30" t="s">
        <v>331</v>
      </c>
      <c r="Z35" s="27" t="s">
        <v>331</v>
      </c>
    </row>
    <row r="36" spans="1:26" x14ac:dyDescent="0.25">
      <c r="A36" s="50"/>
      <c r="B36" s="50" t="str">
        <f>VLOOKUP("&lt;T2Zeilentitel_6.5&gt;",Uebersetzungen!$B$3:$E$194,Uebersetzungen!$B$2+1,FALSE)</f>
        <v>Intermediäre Berufe</v>
      </c>
      <c r="C36" s="21">
        <v>31790.919442611808</v>
      </c>
      <c r="D36" s="27">
        <v>5.8999378246301655</v>
      </c>
      <c r="E36" s="30">
        <v>31790.919442611848</v>
      </c>
      <c r="F36" s="22">
        <v>5.8999378246301468</v>
      </c>
      <c r="G36" s="30">
        <v>31790.919442611848</v>
      </c>
      <c r="H36" s="27">
        <v>5.8999378246301468</v>
      </c>
      <c r="I36" s="23">
        <v>21644.99485131483</v>
      </c>
      <c r="J36" s="27">
        <v>7.4296136052301653</v>
      </c>
      <c r="K36" s="30">
        <v>3924.1034122254623</v>
      </c>
      <c r="L36" s="22">
        <v>18.196674419926836</v>
      </c>
      <c r="M36" s="30">
        <v>3117.2522181357394</v>
      </c>
      <c r="N36" s="27">
        <v>20.495458403727472</v>
      </c>
      <c r="O36" s="23">
        <v>3104.5689609357787</v>
      </c>
      <c r="P36" s="27">
        <v>20.358965153386926</v>
      </c>
      <c r="Q36" s="30" t="s">
        <v>331</v>
      </c>
      <c r="R36" s="22" t="s">
        <v>331</v>
      </c>
      <c r="S36" s="30" t="s">
        <v>331</v>
      </c>
      <c r="T36" s="27" t="s">
        <v>331</v>
      </c>
      <c r="U36" s="23" t="s">
        <v>331</v>
      </c>
      <c r="V36" s="27" t="s">
        <v>331</v>
      </c>
      <c r="W36" s="30" t="s">
        <v>331</v>
      </c>
      <c r="X36" s="22" t="s">
        <v>331</v>
      </c>
      <c r="Y36" s="30" t="s">
        <v>331</v>
      </c>
      <c r="Z36" s="27" t="s">
        <v>331</v>
      </c>
    </row>
    <row r="37" spans="1:26" x14ac:dyDescent="0.25">
      <c r="A37" s="50"/>
      <c r="B37" s="50" t="str">
        <f>VLOOKUP("&lt;T2Zeilentitel_6.6&gt;",Uebersetzungen!$B$3:$E$194,Uebersetzungen!$B$2+1,FALSE)</f>
        <v>Qualifizierte nichtmanuelle Berufe</v>
      </c>
      <c r="C37" s="21">
        <v>19687.931100661222</v>
      </c>
      <c r="D37" s="27">
        <v>7.8145678044516256</v>
      </c>
      <c r="E37" s="30">
        <v>19687.931100661244</v>
      </c>
      <c r="F37" s="22">
        <v>7.8145678044516167</v>
      </c>
      <c r="G37" s="30">
        <v>19687.931100661244</v>
      </c>
      <c r="H37" s="27">
        <v>7.8145678044516167</v>
      </c>
      <c r="I37" s="23">
        <v>9458.8858623735705</v>
      </c>
      <c r="J37" s="27">
        <v>11.72088433786397</v>
      </c>
      <c r="K37" s="30">
        <v>2555.8815860209324</v>
      </c>
      <c r="L37" s="22">
        <v>23.024114989385442</v>
      </c>
      <c r="M37" s="30">
        <v>3828.2438321125378</v>
      </c>
      <c r="N37" s="27">
        <v>18.439113905900093</v>
      </c>
      <c r="O37" s="23">
        <v>3844.9198201541817</v>
      </c>
      <c r="P37" s="27">
        <v>18.254035490995921</v>
      </c>
      <c r="Q37" s="30" t="s">
        <v>331</v>
      </c>
      <c r="R37" s="22" t="s">
        <v>331</v>
      </c>
      <c r="S37" s="30" t="s">
        <v>331</v>
      </c>
      <c r="T37" s="27" t="s">
        <v>331</v>
      </c>
      <c r="U37" s="23" t="s">
        <v>331</v>
      </c>
      <c r="V37" s="27" t="s">
        <v>331</v>
      </c>
      <c r="W37" s="30" t="s">
        <v>331</v>
      </c>
      <c r="X37" s="22" t="s">
        <v>331</v>
      </c>
      <c r="Y37" s="30" t="s">
        <v>331</v>
      </c>
      <c r="Z37" s="27" t="s">
        <v>331</v>
      </c>
    </row>
    <row r="38" spans="1:26" x14ac:dyDescent="0.25">
      <c r="A38" s="50"/>
      <c r="B38" s="50" t="str">
        <f>VLOOKUP("&lt;T2Zeilentitel_6.7&gt;",Uebersetzungen!$B$3:$E$194,Uebersetzungen!$B$2+1,FALSE)</f>
        <v>Qualifizierte manuelle Berufe</v>
      </c>
      <c r="C38" s="21">
        <v>9484.8792043123376</v>
      </c>
      <c r="D38" s="27">
        <v>11.864977699035604</v>
      </c>
      <c r="E38" s="30">
        <v>9484.8792043123321</v>
      </c>
      <c r="F38" s="22">
        <v>11.864977699035611</v>
      </c>
      <c r="G38" s="30">
        <v>9484.8792043123321</v>
      </c>
      <c r="H38" s="27">
        <v>11.864977699035611</v>
      </c>
      <c r="I38" s="23">
        <v>8523.6305881106946</v>
      </c>
      <c r="J38" s="27">
        <v>12.584885401070608</v>
      </c>
      <c r="K38" s="30">
        <v>247.3409777780596</v>
      </c>
      <c r="L38" s="22">
        <v>73.145775196380256</v>
      </c>
      <c r="M38" s="30">
        <v>223.64411491971899</v>
      </c>
      <c r="N38" s="27">
        <v>79.519683620989028</v>
      </c>
      <c r="O38" s="23">
        <v>490.26352350386412</v>
      </c>
      <c r="P38" s="27">
        <v>51.740262405462964</v>
      </c>
      <c r="Q38" s="30" t="s">
        <v>331</v>
      </c>
      <c r="R38" s="22" t="s">
        <v>331</v>
      </c>
      <c r="S38" s="30" t="s">
        <v>331</v>
      </c>
      <c r="T38" s="27" t="s">
        <v>331</v>
      </c>
      <c r="U38" s="23" t="s">
        <v>331</v>
      </c>
      <c r="V38" s="27" t="s">
        <v>331</v>
      </c>
      <c r="W38" s="30" t="s">
        <v>331</v>
      </c>
      <c r="X38" s="22" t="s">
        <v>331</v>
      </c>
      <c r="Y38" s="30" t="s">
        <v>331</v>
      </c>
      <c r="Z38" s="27" t="s">
        <v>331</v>
      </c>
    </row>
    <row r="39" spans="1:26" x14ac:dyDescent="0.25">
      <c r="A39" s="50"/>
      <c r="B39" s="50" t="str">
        <f>VLOOKUP("&lt;T2Zeilentitel_6.8&gt;",Uebersetzungen!$B$3:$E$194,Uebersetzungen!$B$2+1,FALSE)</f>
        <v>Ungelernte Angestellte und Arbeiter</v>
      </c>
      <c r="C39" s="21">
        <v>7868.3355356968295</v>
      </c>
      <c r="D39" s="27">
        <v>13.346655540716698</v>
      </c>
      <c r="E39" s="30">
        <v>7868.3355356968314</v>
      </c>
      <c r="F39" s="22">
        <v>13.346655540716672</v>
      </c>
      <c r="G39" s="30">
        <v>7868.3355356968314</v>
      </c>
      <c r="H39" s="27">
        <v>13.346655540716672</v>
      </c>
      <c r="I39" s="23">
        <v>5262.7304638281494</v>
      </c>
      <c r="J39" s="27">
        <v>16.604130749468048</v>
      </c>
      <c r="K39" s="30">
        <v>693.00160926951992</v>
      </c>
      <c r="L39" s="22">
        <v>44.359223163237651</v>
      </c>
      <c r="M39" s="30">
        <v>732.17788597657886</v>
      </c>
      <c r="N39" s="27">
        <v>44.514588180453032</v>
      </c>
      <c r="O39" s="23">
        <v>1180.4255766225817</v>
      </c>
      <c r="P39" s="27">
        <v>34.170633206655516</v>
      </c>
      <c r="Q39" s="30" t="s">
        <v>331</v>
      </c>
      <c r="R39" s="22" t="s">
        <v>331</v>
      </c>
      <c r="S39" s="30" t="s">
        <v>331</v>
      </c>
      <c r="T39" s="27" t="s">
        <v>331</v>
      </c>
      <c r="U39" s="23" t="s">
        <v>331</v>
      </c>
      <c r="V39" s="27" t="s">
        <v>331</v>
      </c>
      <c r="W39" s="30" t="s">
        <v>331</v>
      </c>
      <c r="X39" s="22" t="s">
        <v>331</v>
      </c>
      <c r="Y39" s="30" t="s">
        <v>331</v>
      </c>
      <c r="Z39" s="27" t="s">
        <v>331</v>
      </c>
    </row>
    <row r="40" spans="1:26" ht="25" x14ac:dyDescent="0.25">
      <c r="A40" s="50"/>
      <c r="B40" s="50" t="str">
        <f>VLOOKUP("&lt;T2Zeilentitel_6.9&gt;",Uebersetzungen!$B$3:$E$194,Uebersetzungen!$B$2+1,FALSE)</f>
        <v>Lernende in dualer beruflicher Grundbildung (Lehrlinge)</v>
      </c>
      <c r="C40" s="21">
        <v>3201.5321721395994</v>
      </c>
      <c r="D40" s="27">
        <v>20.317967540486357</v>
      </c>
      <c r="E40" s="30">
        <v>3201.5321721395994</v>
      </c>
      <c r="F40" s="22">
        <v>20.317967540486357</v>
      </c>
      <c r="G40" s="30">
        <v>3201.5321721395994</v>
      </c>
      <c r="H40" s="27">
        <v>20.317967540486357</v>
      </c>
      <c r="I40" s="23">
        <v>3201.5321721395994</v>
      </c>
      <c r="J40" s="27">
        <v>20.317967540486357</v>
      </c>
      <c r="K40" s="30" t="s">
        <v>331</v>
      </c>
      <c r="L40" s="22" t="s">
        <v>331</v>
      </c>
      <c r="M40" s="30" t="s">
        <v>331</v>
      </c>
      <c r="N40" s="27" t="s">
        <v>331</v>
      </c>
      <c r="O40" s="23" t="s">
        <v>331</v>
      </c>
      <c r="P40" s="27" t="s">
        <v>331</v>
      </c>
      <c r="Q40" s="30" t="s">
        <v>331</v>
      </c>
      <c r="R40" s="22" t="s">
        <v>331</v>
      </c>
      <c r="S40" s="30" t="s">
        <v>331</v>
      </c>
      <c r="T40" s="27" t="s">
        <v>331</v>
      </c>
      <c r="U40" s="23" t="s">
        <v>331</v>
      </c>
      <c r="V40" s="27" t="s">
        <v>331</v>
      </c>
      <c r="W40" s="30" t="s">
        <v>331</v>
      </c>
      <c r="X40" s="22" t="s">
        <v>331</v>
      </c>
      <c r="Y40" s="30" t="s">
        <v>331</v>
      </c>
      <c r="Z40" s="27" t="s">
        <v>331</v>
      </c>
    </row>
    <row r="41" spans="1:26" ht="25" x14ac:dyDescent="0.25">
      <c r="A41" s="50"/>
      <c r="B41" s="50" t="str">
        <f>VLOOKUP("&lt;T2Zeilentitel_6.10&gt;",Uebersetzungen!$B$3:$E$194,Uebersetzungen!$B$2+1,FALSE)</f>
        <v>Nicht zuteilbare Erwerbstätige (fehlende oder unklare Basisdaten oder unplausible Kombination)</v>
      </c>
      <c r="C41" s="21">
        <v>2169.8068201438932</v>
      </c>
      <c r="D41" s="27">
        <v>25.542148859673862</v>
      </c>
      <c r="E41" s="30">
        <v>2169.8068201438932</v>
      </c>
      <c r="F41" s="22">
        <v>25.542148859673862</v>
      </c>
      <c r="G41" s="30">
        <v>2169.8068201438932</v>
      </c>
      <c r="H41" s="27">
        <v>25.542148859673862</v>
      </c>
      <c r="I41" s="23">
        <v>1014.6579361624075</v>
      </c>
      <c r="J41" s="27">
        <v>38.423763906193344</v>
      </c>
      <c r="K41" s="30">
        <v>174.27844634924489</v>
      </c>
      <c r="L41" s="22">
        <v>86.502723744252293</v>
      </c>
      <c r="M41" s="30">
        <v>173.0800809957108</v>
      </c>
      <c r="N41" s="27">
        <v>86.50234515848814</v>
      </c>
      <c r="O41" s="23">
        <v>807.79035663652996</v>
      </c>
      <c r="P41" s="27">
        <v>41.478964211252311</v>
      </c>
      <c r="Q41" s="30" t="s">
        <v>331</v>
      </c>
      <c r="R41" s="22" t="s">
        <v>331</v>
      </c>
      <c r="S41" s="30" t="s">
        <v>331</v>
      </c>
      <c r="T41" s="27" t="s">
        <v>331</v>
      </c>
      <c r="U41" s="23" t="s">
        <v>331</v>
      </c>
      <c r="V41" s="27" t="s">
        <v>331</v>
      </c>
      <c r="W41" s="30" t="s">
        <v>331</v>
      </c>
      <c r="X41" s="22" t="s">
        <v>331</v>
      </c>
      <c r="Y41" s="30" t="s">
        <v>331</v>
      </c>
      <c r="Z41" s="27" t="s">
        <v>331</v>
      </c>
    </row>
    <row r="42" spans="1:26" ht="25" x14ac:dyDescent="0.25">
      <c r="A42" s="50"/>
      <c r="B42" s="50" t="str">
        <f>VLOOKUP("&lt;T2Zeilentitel_6.11&gt;",Uebersetzungen!$B$3:$E$194,Uebersetzungen!$B$2+1,FALSE)</f>
        <v>Erwerbslose und Nichterwerbspersonen</v>
      </c>
      <c r="C42" s="21">
        <v>65470.394966079853</v>
      </c>
      <c r="D42" s="27">
        <v>3.490797500196591</v>
      </c>
      <c r="E42" s="30">
        <v>2273.582534576155</v>
      </c>
      <c r="F42" s="22">
        <v>25.546793337573479</v>
      </c>
      <c r="G42" s="30" t="s">
        <v>331</v>
      </c>
      <c r="H42" s="27" t="s">
        <v>331</v>
      </c>
      <c r="I42" s="23" t="s">
        <v>331</v>
      </c>
      <c r="J42" s="27" t="s">
        <v>331</v>
      </c>
      <c r="K42" s="30" t="s">
        <v>331</v>
      </c>
      <c r="L42" s="22" t="s">
        <v>331</v>
      </c>
      <c r="M42" s="30" t="s">
        <v>331</v>
      </c>
      <c r="N42" s="27" t="s">
        <v>331</v>
      </c>
      <c r="O42" s="23" t="s">
        <v>331</v>
      </c>
      <c r="P42" s="27" t="s">
        <v>331</v>
      </c>
      <c r="Q42" s="30">
        <v>2273.582534576155</v>
      </c>
      <c r="R42" s="22">
        <v>25.546793337573479</v>
      </c>
      <c r="S42" s="30">
        <v>8707.6804492583215</v>
      </c>
      <c r="T42" s="27">
        <v>12.242818228097377</v>
      </c>
      <c r="U42" s="23">
        <v>5394.8689272896781</v>
      </c>
      <c r="V42" s="27">
        <v>15.66247980765767</v>
      </c>
      <c r="W42" s="30">
        <v>45325.186468288521</v>
      </c>
      <c r="X42" s="22">
        <v>4.4712341145494383</v>
      </c>
      <c r="Y42" s="30">
        <v>3769.0765866671768</v>
      </c>
      <c r="Z42" s="27">
        <v>19.31871190045792</v>
      </c>
    </row>
    <row r="43" spans="1:26" x14ac:dyDescent="0.25">
      <c r="A43" s="90" t="str">
        <f>VLOOKUP("&lt;T2Zeilentitel_7&gt;",Uebersetzungen!$B$3:$E$194,Uebersetzungen!$B$2+1,FALSE)</f>
        <v>Höchste abgeschlossene Ausbildung</v>
      </c>
      <c r="B43" s="90" t="str">
        <f>VLOOKUP("&lt;T2Zeilentitel_7.1&gt;",Uebersetzungen!$B$3:$E$194,Uebersetzungen!$B$2+1,FALSE)</f>
        <v>Obligatorische Schule</v>
      </c>
      <c r="C43" s="91">
        <v>35257.105825795814</v>
      </c>
      <c r="D43" s="92">
        <v>5.5602700259148774</v>
      </c>
      <c r="E43" s="93">
        <v>15737.721612418427</v>
      </c>
      <c r="F43" s="94">
        <v>9.1042630304701841</v>
      </c>
      <c r="G43" s="93">
        <v>15230.925944552968</v>
      </c>
      <c r="H43" s="92">
        <v>9.2590930794259183</v>
      </c>
      <c r="I43" s="95">
        <v>11382.833665072723</v>
      </c>
      <c r="J43" s="92">
        <v>10.865661646444785</v>
      </c>
      <c r="K43" s="93">
        <v>938.83590834038125</v>
      </c>
      <c r="L43" s="94">
        <v>37.889093341418999</v>
      </c>
      <c r="M43" s="93">
        <v>1056.1415619124878</v>
      </c>
      <c r="N43" s="92">
        <v>36.612158521559643</v>
      </c>
      <c r="O43" s="95">
        <v>1853.114809227385</v>
      </c>
      <c r="P43" s="92">
        <v>27.341967423377348</v>
      </c>
      <c r="Q43" s="93">
        <v>506.79566786546013</v>
      </c>
      <c r="R43" s="94">
        <v>54.349029795640156</v>
      </c>
      <c r="S43" s="93">
        <v>4622.2257765483073</v>
      </c>
      <c r="T43" s="92">
        <v>16.576740799739561</v>
      </c>
      <c r="U43" s="95">
        <v>1059.2375537013704</v>
      </c>
      <c r="V43" s="92">
        <v>36.631525518726548</v>
      </c>
      <c r="W43" s="93">
        <v>12584.530976233986</v>
      </c>
      <c r="X43" s="94">
        <v>9.6996191506887381</v>
      </c>
      <c r="Y43" s="93">
        <v>1253.3899068937096</v>
      </c>
      <c r="Z43" s="92">
        <v>33.889853563009055</v>
      </c>
    </row>
    <row r="44" spans="1:26" x14ac:dyDescent="0.25">
      <c r="A44" s="50"/>
      <c r="B44" s="50" t="str">
        <f>VLOOKUP("&lt;T2Zeilentitel_7.2&gt;",Uebersetzungen!$B$3:$E$194,Uebersetzungen!$B$2+1,FALSE)</f>
        <v>Sekundarstufe II</v>
      </c>
      <c r="C44" s="21">
        <v>79770.079363931509</v>
      </c>
      <c r="D44" s="27">
        <v>3.0314707120835216</v>
      </c>
      <c r="E44" s="30">
        <v>50147.090019607873</v>
      </c>
      <c r="F44" s="22">
        <v>4.4421391108857415</v>
      </c>
      <c r="G44" s="30">
        <v>49002.285142121618</v>
      </c>
      <c r="H44" s="27">
        <v>4.506693847596889</v>
      </c>
      <c r="I44" s="23">
        <v>32326.679627087393</v>
      </c>
      <c r="J44" s="27">
        <v>5.9495382995339279</v>
      </c>
      <c r="K44" s="30">
        <v>4541.6091164368818</v>
      </c>
      <c r="L44" s="22">
        <v>17.060632659690111</v>
      </c>
      <c r="M44" s="30">
        <v>5176.9653437419429</v>
      </c>
      <c r="N44" s="27">
        <v>15.801654011565383</v>
      </c>
      <c r="O44" s="23">
        <v>6957.0310548554771</v>
      </c>
      <c r="P44" s="27">
        <v>13.378314488499862</v>
      </c>
      <c r="Q44" s="30">
        <v>1144.8048774862455</v>
      </c>
      <c r="R44" s="22">
        <v>36.072127488144872</v>
      </c>
      <c r="S44" s="30">
        <v>3308.2619977545064</v>
      </c>
      <c r="T44" s="27">
        <v>20.548706277503982</v>
      </c>
      <c r="U44" s="23">
        <v>2742.7524744741513</v>
      </c>
      <c r="V44" s="27">
        <v>22.065568264851795</v>
      </c>
      <c r="W44" s="30">
        <v>22015.028615091898</v>
      </c>
      <c r="X44" s="22">
        <v>6.9940129134597999</v>
      </c>
      <c r="Y44" s="30">
        <v>1556.9462570030225</v>
      </c>
      <c r="Z44" s="27">
        <v>30.602596363802025</v>
      </c>
    </row>
    <row r="45" spans="1:26" x14ac:dyDescent="0.25">
      <c r="A45" s="52"/>
      <c r="B45" s="52" t="str">
        <f>VLOOKUP("&lt;T2Zeilentitel_7.3&gt;",Uebersetzungen!$B$3:$E$194,Uebersetzungen!$B$2+1,FALSE)</f>
        <v>Tertiärstufe</v>
      </c>
      <c r="C45" s="43">
        <v>57959.814810273994</v>
      </c>
      <c r="D45" s="44">
        <v>3.8600787798579153</v>
      </c>
      <c r="E45" s="45">
        <v>43905.375936471348</v>
      </c>
      <c r="F45" s="46">
        <v>4.7290620922623576</v>
      </c>
      <c r="G45" s="45">
        <v>43283.393947246914</v>
      </c>
      <c r="H45" s="44">
        <v>4.7677292396921072</v>
      </c>
      <c r="I45" s="47">
        <v>29100.565208051485</v>
      </c>
      <c r="J45" s="44">
        <v>6.1277102540612098</v>
      </c>
      <c r="K45" s="45">
        <v>5215.8268371810964</v>
      </c>
      <c r="L45" s="46">
        <v>15.585537025372748</v>
      </c>
      <c r="M45" s="45">
        <v>4317.5647818212719</v>
      </c>
      <c r="N45" s="44">
        <v>17.195709160798895</v>
      </c>
      <c r="O45" s="47">
        <v>4649.4371201929625</v>
      </c>
      <c r="P45" s="44">
        <v>16.600383900840779</v>
      </c>
      <c r="Q45" s="45">
        <v>621.9819892244509</v>
      </c>
      <c r="R45" s="46">
        <v>49.136909778110287</v>
      </c>
      <c r="S45" s="45">
        <v>777.19267495551242</v>
      </c>
      <c r="T45" s="44">
        <v>44.55124422699862</v>
      </c>
      <c r="U45" s="47">
        <v>1592.8788991141569</v>
      </c>
      <c r="V45" s="44">
        <v>28.821755406126535</v>
      </c>
      <c r="W45" s="45">
        <v>10725.626876962613</v>
      </c>
      <c r="X45" s="46">
        <v>10.346609110893842</v>
      </c>
      <c r="Y45" s="45">
        <v>958.7404227704435</v>
      </c>
      <c r="Z45" s="44">
        <v>37.577397231681111</v>
      </c>
    </row>
    <row r="46" spans="1:26" x14ac:dyDescent="0.25">
      <c r="A46" s="15"/>
    </row>
    <row r="47" spans="1:26" x14ac:dyDescent="0.25">
      <c r="A47" s="1" t="str">
        <f>VLOOKUP("&lt;Legende_1&gt;",Uebersetzungen!$B$3:$E$199,Uebersetzungen!$B$2+1,FALSE)</f>
        <v>(): Extrapolation aufgrund von 49 oder weniger Beobachtungen. Die Resultate sind mit grosser Vorsicht zu interpretieren.</v>
      </c>
    </row>
    <row r="48" spans="1:26" x14ac:dyDescent="0.25">
      <c r="A48" s="1" t="str">
        <f>VLOOKUP("&lt;Legende_2&gt;",Uebersetzungen!$B$3:$E$199,Uebersetzungen!$B$2+1,FALSE)</f>
        <v>X: Extrapolation aufgrund von 4 oder weniger Beobachtungen. Die Resultate werden aus Gründen des Datenschutzes nicht publiziert.</v>
      </c>
    </row>
    <row r="49" spans="1:1" x14ac:dyDescent="0.25">
      <c r="A49" s="1" t="str">
        <f>VLOOKUP("&lt;Legende_3&gt;",Uebersetzungen!$B$3:$E$199,Uebersetzungen!$B$2+1,FALSE)</f>
        <v>Die Grundgesamtheit der Strukturerhebung enthält alle Personen der ständigen Wohnbevölkerung ab vollendetem 15. Altersjahr, die in Privathaushalten leben.</v>
      </c>
    </row>
    <row r="50" spans="1:1" x14ac:dyDescent="0.25">
      <c r="A50" s="1" t="str">
        <f>VLOOKUP("&lt;Legende_4&gt;",Uebersetzungen!$B$3:$E$199,Uebersetzungen!$B$2+1,FALSE)</f>
        <v>Aus der Grundgesamtheit ausgeschlossen wurden neben den Personen, die in Kollektivhaushalten leben, auch Diplomaten, internationale Funktionäre und deren Angehörige.</v>
      </c>
    </row>
    <row r="52" spans="1:1" x14ac:dyDescent="0.25">
      <c r="A52" s="1" t="str">
        <f>VLOOKUP("&lt;quelle_1&gt;",Uebersetzungen!$B$3:$E$199,Uebersetzungen!$B$2+1,FALSE)</f>
        <v>Quelle: BFS (Strukturerhebung)</v>
      </c>
    </row>
    <row r="53" spans="1:1" x14ac:dyDescent="0.25">
      <c r="A53" s="1" t="str">
        <f>VLOOKUP("&lt;aktualisierung&gt;",Uebersetzungen!$B$3:$E$199,Uebersetzungen!$B$2+1,FALSE)</f>
        <v>Letztmals aktualisiert am: 26.01.2024</v>
      </c>
    </row>
  </sheetData>
  <sheetProtection sheet="1" objects="1" scenarios="1"/>
  <mergeCells count="13">
    <mergeCell ref="S13:T13"/>
    <mergeCell ref="U13:V13"/>
    <mergeCell ref="W13:X13"/>
    <mergeCell ref="Y13:Z13"/>
    <mergeCell ref="C12:Z12"/>
    <mergeCell ref="C13:D13"/>
    <mergeCell ref="E13:F13"/>
    <mergeCell ref="G13:H13"/>
    <mergeCell ref="I13:J13"/>
    <mergeCell ref="K13:L13"/>
    <mergeCell ref="M13:N13"/>
    <mergeCell ref="O13:P13"/>
    <mergeCell ref="Q13:R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Option Button 4">
              <controlPr defaultSize="0" autoFill="0" autoLine="0" autoPict="0">
                <anchor moveWithCells="1">
                  <from>
                    <xdr:col>3</xdr:col>
                    <xdr:colOff>539750</xdr:colOff>
                    <xdr:row>1</xdr:row>
                    <xdr:rowOff>120650</xdr:rowOff>
                  </from>
                  <to>
                    <xdr:col>5</xdr:col>
                    <xdr:colOff>19050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3</xdr:col>
                    <xdr:colOff>539750</xdr:colOff>
                    <xdr:row>2</xdr:row>
                    <xdr:rowOff>107950</xdr:rowOff>
                  </from>
                  <to>
                    <xdr:col>5</xdr:col>
                    <xdr:colOff>412750</xdr:colOff>
                    <xdr:row>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3</xdr:col>
                    <xdr:colOff>539750</xdr:colOff>
                    <xdr:row>3</xdr:row>
                    <xdr:rowOff>76200</xdr:rowOff>
                  </from>
                  <to>
                    <xdr:col>5</xdr:col>
                    <xdr:colOff>19050</xdr:colOff>
                    <xdr:row>4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/>
  </sheetViews>
  <sheetFormatPr baseColWidth="10" defaultColWidth="12.54296875" defaultRowHeight="12.5" x14ac:dyDescent="0.25"/>
  <cols>
    <col min="1" max="1" width="9.81640625" style="56" customWidth="1"/>
    <col min="2" max="2" width="30" style="56" customWidth="1"/>
    <col min="3" max="3" width="78.54296875" style="60" customWidth="1"/>
    <col min="4" max="5" width="53.453125" style="60" customWidth="1"/>
    <col min="6" max="6" width="22.453125" style="56" customWidth="1"/>
    <col min="7" max="8" width="12.54296875" style="56"/>
    <col min="9" max="9" width="37.7265625" style="56" customWidth="1"/>
    <col min="10" max="16384" width="12.54296875" style="56"/>
  </cols>
  <sheetData>
    <row r="1" spans="1:6" ht="13" x14ac:dyDescent="0.25">
      <c r="A1" s="53" t="s">
        <v>2</v>
      </c>
      <c r="B1" s="53" t="s">
        <v>3</v>
      </c>
      <c r="C1" s="54" t="s">
        <v>4</v>
      </c>
      <c r="D1" s="54" t="s">
        <v>5</v>
      </c>
      <c r="E1" s="54" t="s">
        <v>6</v>
      </c>
      <c r="F1" s="55"/>
    </row>
    <row r="2" spans="1:6" ht="12.75" customHeight="1" x14ac:dyDescent="0.25">
      <c r="A2" s="57" t="s">
        <v>7</v>
      </c>
      <c r="B2" s="58">
        <v>1</v>
      </c>
      <c r="C2" s="59"/>
      <c r="D2" s="59"/>
      <c r="E2" s="59"/>
      <c r="F2" s="55"/>
    </row>
    <row r="3" spans="1:6" ht="12.75" customHeight="1" x14ac:dyDescent="0.25">
      <c r="A3" s="57"/>
      <c r="B3" s="56" t="s">
        <v>8</v>
      </c>
      <c r="C3" s="60" t="s">
        <v>9</v>
      </c>
      <c r="D3" s="60" t="s">
        <v>10</v>
      </c>
      <c r="E3" s="60" t="s">
        <v>11</v>
      </c>
      <c r="F3" s="55"/>
    </row>
    <row r="4" spans="1:6" ht="12.75" customHeight="1" x14ac:dyDescent="0.25">
      <c r="A4" s="57" t="s">
        <v>12</v>
      </c>
      <c r="B4" s="56" t="s">
        <v>13</v>
      </c>
      <c r="C4" s="60" t="s">
        <v>181</v>
      </c>
      <c r="D4" s="60" t="s">
        <v>212</v>
      </c>
      <c r="E4" s="60" t="s">
        <v>343</v>
      </c>
      <c r="F4" s="55"/>
    </row>
    <row r="5" spans="1:6" ht="12.75" customHeight="1" x14ac:dyDescent="0.25">
      <c r="A5" s="57"/>
      <c r="B5" s="56" t="s">
        <v>14</v>
      </c>
      <c r="C5" s="60" t="s">
        <v>15</v>
      </c>
      <c r="D5" s="60" t="s">
        <v>16</v>
      </c>
      <c r="E5" s="60" t="s">
        <v>17</v>
      </c>
      <c r="F5" s="55"/>
    </row>
    <row r="6" spans="1:6" ht="12.75" customHeight="1" x14ac:dyDescent="0.25">
      <c r="A6" s="57" t="s">
        <v>18</v>
      </c>
      <c r="B6" s="56" t="s">
        <v>19</v>
      </c>
      <c r="C6" s="60" t="s">
        <v>20</v>
      </c>
      <c r="D6" s="60" t="s">
        <v>20</v>
      </c>
      <c r="E6" s="60" t="s">
        <v>21</v>
      </c>
      <c r="F6" s="55"/>
    </row>
    <row r="7" spans="1:6" ht="12.75" customHeight="1" x14ac:dyDescent="0.25">
      <c r="A7" s="57"/>
      <c r="B7" s="56" t="s">
        <v>22</v>
      </c>
      <c r="C7" s="60" t="s">
        <v>23</v>
      </c>
      <c r="D7" s="60" t="s">
        <v>24</v>
      </c>
      <c r="E7" s="60" t="s">
        <v>332</v>
      </c>
      <c r="F7" s="55"/>
    </row>
    <row r="8" spans="1:6" ht="12.75" customHeight="1" x14ac:dyDescent="0.25">
      <c r="A8" s="57"/>
      <c r="B8" s="56" t="s">
        <v>25</v>
      </c>
      <c r="C8" s="60" t="s">
        <v>26</v>
      </c>
      <c r="D8" s="60" t="s">
        <v>27</v>
      </c>
      <c r="E8" s="60" t="s">
        <v>333</v>
      </c>
      <c r="F8" s="55"/>
    </row>
    <row r="9" spans="1:6" ht="12.75" customHeight="1" x14ac:dyDescent="0.25">
      <c r="A9" s="57"/>
      <c r="B9" s="56" t="s">
        <v>28</v>
      </c>
      <c r="C9" s="60" t="s">
        <v>29</v>
      </c>
      <c r="D9" s="60" t="s">
        <v>30</v>
      </c>
      <c r="E9" s="60" t="s">
        <v>334</v>
      </c>
      <c r="F9" s="55"/>
    </row>
    <row r="10" spans="1:6" ht="12.75" customHeight="1" x14ac:dyDescent="0.25">
      <c r="A10" s="57"/>
      <c r="B10" s="56" t="s">
        <v>31</v>
      </c>
      <c r="C10" s="60" t="s">
        <v>32</v>
      </c>
      <c r="D10" s="60" t="s">
        <v>33</v>
      </c>
      <c r="E10" s="60" t="s">
        <v>335</v>
      </c>
      <c r="F10" s="55"/>
    </row>
    <row r="11" spans="1:6" ht="12.75" customHeight="1" x14ac:dyDescent="0.25">
      <c r="A11" s="57"/>
      <c r="B11" s="56" t="s">
        <v>34</v>
      </c>
      <c r="C11" s="60" t="s">
        <v>35</v>
      </c>
      <c r="D11" s="60" t="s">
        <v>36</v>
      </c>
      <c r="E11" s="60" t="s">
        <v>336</v>
      </c>
      <c r="F11" s="55"/>
    </row>
    <row r="12" spans="1:6" ht="12.75" customHeight="1" x14ac:dyDescent="0.25">
      <c r="A12" s="57"/>
      <c r="B12" s="56" t="s">
        <v>37</v>
      </c>
      <c r="C12" s="60" t="s">
        <v>38</v>
      </c>
      <c r="D12" s="60" t="s">
        <v>39</v>
      </c>
      <c r="E12" s="60" t="s">
        <v>337</v>
      </c>
      <c r="F12" s="55"/>
    </row>
    <row r="13" spans="1:6" ht="12.75" customHeight="1" x14ac:dyDescent="0.25">
      <c r="A13" s="57"/>
      <c r="B13" s="56" t="s">
        <v>40</v>
      </c>
      <c r="C13" s="60" t="s">
        <v>41</v>
      </c>
      <c r="D13" s="60" t="s">
        <v>42</v>
      </c>
      <c r="E13" s="60" t="s">
        <v>338</v>
      </c>
      <c r="F13" s="55"/>
    </row>
    <row r="14" spans="1:6" ht="12.75" customHeight="1" x14ac:dyDescent="0.25">
      <c r="A14" s="57"/>
      <c r="B14" s="56" t="s">
        <v>43</v>
      </c>
      <c r="C14" s="60" t="s">
        <v>44</v>
      </c>
      <c r="D14" s="60" t="s">
        <v>45</v>
      </c>
      <c r="E14" s="60" t="s">
        <v>339</v>
      </c>
      <c r="F14" s="55"/>
    </row>
    <row r="15" spans="1:6" ht="12.75" customHeight="1" x14ac:dyDescent="0.25">
      <c r="A15" s="57"/>
      <c r="B15" s="56" t="s">
        <v>46</v>
      </c>
      <c r="C15" s="60" t="s">
        <v>47</v>
      </c>
      <c r="D15" s="60" t="s">
        <v>48</v>
      </c>
      <c r="E15" s="60" t="s">
        <v>340</v>
      </c>
      <c r="F15" s="55"/>
    </row>
    <row r="16" spans="1:6" ht="12.75" customHeight="1" x14ac:dyDescent="0.25">
      <c r="A16" s="57"/>
      <c r="B16" s="56" t="s">
        <v>49</v>
      </c>
      <c r="C16" s="60" t="s">
        <v>50</v>
      </c>
      <c r="D16" s="60" t="s">
        <v>51</v>
      </c>
      <c r="E16" s="60" t="s">
        <v>341</v>
      </c>
      <c r="F16" s="55"/>
    </row>
    <row r="17" spans="1:6" ht="12.75" customHeight="1" x14ac:dyDescent="0.25">
      <c r="A17" s="57"/>
      <c r="B17" s="56" t="s">
        <v>52</v>
      </c>
      <c r="C17" s="60" t="s">
        <v>53</v>
      </c>
      <c r="D17" s="60" t="s">
        <v>54</v>
      </c>
      <c r="E17" s="60" t="s">
        <v>342</v>
      </c>
      <c r="F17" s="55"/>
    </row>
    <row r="18" spans="1:6" ht="12.75" customHeight="1" x14ac:dyDescent="0.25">
      <c r="A18" s="57"/>
      <c r="B18" s="56" t="s">
        <v>55</v>
      </c>
      <c r="C18" s="60" t="s">
        <v>0</v>
      </c>
      <c r="D18" s="60" t="s">
        <v>56</v>
      </c>
      <c r="E18" s="60" t="s">
        <v>57</v>
      </c>
      <c r="F18" s="55"/>
    </row>
    <row r="19" spans="1:6" ht="12.75" customHeight="1" x14ac:dyDescent="0.25">
      <c r="A19" s="57"/>
      <c r="B19" s="56" t="s">
        <v>58</v>
      </c>
      <c r="C19" s="60" t="s">
        <v>59</v>
      </c>
      <c r="D19" s="60" t="s">
        <v>60</v>
      </c>
      <c r="E19" s="60" t="s">
        <v>61</v>
      </c>
      <c r="F19" s="55"/>
    </row>
    <row r="20" spans="1:6" ht="12.75" customHeight="1" x14ac:dyDescent="0.25">
      <c r="A20" s="57"/>
      <c r="B20" s="55"/>
      <c r="C20" s="61"/>
      <c r="D20" s="61"/>
      <c r="E20" s="61"/>
      <c r="F20" s="55"/>
    </row>
    <row r="21" spans="1:6" ht="12.75" customHeight="1" x14ac:dyDescent="0.25">
      <c r="A21" s="57" t="s">
        <v>12</v>
      </c>
      <c r="B21" s="56" t="s">
        <v>62</v>
      </c>
      <c r="C21" s="60" t="s">
        <v>20</v>
      </c>
      <c r="D21" s="60" t="s">
        <v>20</v>
      </c>
      <c r="E21" s="60" t="s">
        <v>21</v>
      </c>
      <c r="F21" s="55"/>
    </row>
    <row r="22" spans="1:6" ht="12.75" customHeight="1" x14ac:dyDescent="0.25">
      <c r="A22" s="55"/>
      <c r="B22" s="56" t="s">
        <v>63</v>
      </c>
      <c r="C22" s="60" t="s">
        <v>64</v>
      </c>
      <c r="D22" s="60" t="s">
        <v>65</v>
      </c>
      <c r="E22" s="60" t="s">
        <v>66</v>
      </c>
      <c r="F22" s="55"/>
    </row>
    <row r="23" spans="1:6" ht="12.75" customHeight="1" x14ac:dyDescent="0.25">
      <c r="A23" s="55"/>
      <c r="F23" s="55"/>
    </row>
    <row r="24" spans="1:6" ht="12.75" customHeight="1" x14ac:dyDescent="0.25">
      <c r="A24" s="55"/>
      <c r="B24" s="56" t="s">
        <v>67</v>
      </c>
      <c r="C24" s="62" t="s">
        <v>68</v>
      </c>
      <c r="D24" s="63" t="s">
        <v>69</v>
      </c>
      <c r="E24" s="63" t="s">
        <v>70</v>
      </c>
      <c r="F24" s="55"/>
    </row>
    <row r="25" spans="1:6" ht="12.75" customHeight="1" x14ac:dyDescent="0.25">
      <c r="A25" s="55"/>
      <c r="B25" s="56" t="s">
        <v>71</v>
      </c>
      <c r="C25" s="62" t="s">
        <v>72</v>
      </c>
      <c r="D25" s="63" t="s">
        <v>73</v>
      </c>
      <c r="E25" s="63" t="s">
        <v>73</v>
      </c>
      <c r="F25" s="55"/>
    </row>
    <row r="26" spans="1:6" x14ac:dyDescent="0.25">
      <c r="A26" s="55"/>
      <c r="B26" s="56" t="s">
        <v>74</v>
      </c>
      <c r="C26" s="62" t="s">
        <v>75</v>
      </c>
      <c r="D26" s="63" t="s">
        <v>76</v>
      </c>
      <c r="E26" s="63" t="s">
        <v>76</v>
      </c>
      <c r="F26" s="55"/>
    </row>
    <row r="27" spans="1:6" x14ac:dyDescent="0.25">
      <c r="A27" s="55"/>
      <c r="B27" s="56" t="s">
        <v>77</v>
      </c>
      <c r="C27" s="62" t="s">
        <v>78</v>
      </c>
      <c r="D27" s="63" t="s">
        <v>78</v>
      </c>
      <c r="E27" s="63" t="s">
        <v>78</v>
      </c>
      <c r="F27" s="55"/>
    </row>
    <row r="28" spans="1:6" x14ac:dyDescent="0.25">
      <c r="A28" s="55"/>
      <c r="B28" s="56" t="s">
        <v>79</v>
      </c>
      <c r="C28" s="62" t="s">
        <v>80</v>
      </c>
      <c r="D28" s="63" t="s">
        <v>81</v>
      </c>
      <c r="E28" s="63" t="s">
        <v>82</v>
      </c>
      <c r="F28" s="55"/>
    </row>
    <row r="29" spans="1:6" x14ac:dyDescent="0.25">
      <c r="A29" s="55"/>
      <c r="B29" s="56" t="s">
        <v>83</v>
      </c>
      <c r="C29" s="62" t="s">
        <v>84</v>
      </c>
      <c r="D29" s="63" t="s">
        <v>85</v>
      </c>
      <c r="E29" s="63" t="s">
        <v>86</v>
      </c>
      <c r="F29" s="55"/>
    </row>
    <row r="30" spans="1:6" x14ac:dyDescent="0.25">
      <c r="A30" s="55"/>
      <c r="B30" s="56" t="s">
        <v>87</v>
      </c>
      <c r="C30" s="62" t="s">
        <v>88</v>
      </c>
      <c r="D30" s="63" t="s">
        <v>89</v>
      </c>
      <c r="E30" s="63" t="s">
        <v>90</v>
      </c>
      <c r="F30" s="55"/>
    </row>
    <row r="31" spans="1:6" x14ac:dyDescent="0.25">
      <c r="A31" s="55"/>
      <c r="B31" s="56" t="s">
        <v>91</v>
      </c>
      <c r="C31" s="62" t="s">
        <v>92</v>
      </c>
      <c r="D31" s="63" t="s">
        <v>93</v>
      </c>
      <c r="E31" s="63" t="s">
        <v>94</v>
      </c>
      <c r="F31" s="55"/>
    </row>
    <row r="32" spans="1:6" x14ac:dyDescent="0.25">
      <c r="A32" s="55"/>
      <c r="B32" s="56" t="s">
        <v>95</v>
      </c>
      <c r="C32" s="62" t="s">
        <v>96</v>
      </c>
      <c r="D32" s="63" t="s">
        <v>96</v>
      </c>
      <c r="E32" s="63" t="s">
        <v>97</v>
      </c>
      <c r="F32" s="55"/>
    </row>
    <row r="33" spans="1:6" x14ac:dyDescent="0.25">
      <c r="A33" s="55"/>
      <c r="B33" s="56" t="s">
        <v>98</v>
      </c>
      <c r="C33" s="62" t="s">
        <v>99</v>
      </c>
      <c r="D33" s="63" t="s">
        <v>100</v>
      </c>
      <c r="E33" s="63" t="s">
        <v>101</v>
      </c>
      <c r="F33" s="55"/>
    </row>
    <row r="34" spans="1:6" x14ac:dyDescent="0.25">
      <c r="A34" s="55"/>
      <c r="B34" s="56" t="s">
        <v>102</v>
      </c>
      <c r="C34" s="62" t="s">
        <v>103</v>
      </c>
      <c r="D34" s="63" t="s">
        <v>104</v>
      </c>
      <c r="E34" s="63" t="s">
        <v>105</v>
      </c>
      <c r="F34" s="55"/>
    </row>
    <row r="35" spans="1:6" x14ac:dyDescent="0.25">
      <c r="A35" s="55"/>
      <c r="B35" s="56" t="s">
        <v>106</v>
      </c>
      <c r="C35" s="62" t="s">
        <v>107</v>
      </c>
      <c r="D35" s="63" t="s">
        <v>108</v>
      </c>
      <c r="E35" s="63" t="s">
        <v>109</v>
      </c>
      <c r="F35" s="55"/>
    </row>
    <row r="36" spans="1:6" x14ac:dyDescent="0.25">
      <c r="A36" s="55"/>
      <c r="B36" s="56" t="s">
        <v>110</v>
      </c>
      <c r="C36" s="62" t="s">
        <v>111</v>
      </c>
      <c r="D36" s="63" t="s">
        <v>112</v>
      </c>
      <c r="E36" s="63" t="s">
        <v>113</v>
      </c>
      <c r="F36" s="55"/>
    </row>
    <row r="37" spans="1:6" x14ac:dyDescent="0.25">
      <c r="A37" s="55"/>
      <c r="B37" s="56" t="s">
        <v>114</v>
      </c>
      <c r="C37" s="62" t="s">
        <v>115</v>
      </c>
      <c r="D37" s="63" t="s">
        <v>116</v>
      </c>
      <c r="E37" s="63" t="s">
        <v>117</v>
      </c>
      <c r="F37" s="55"/>
    </row>
    <row r="38" spans="1:6" x14ac:dyDescent="0.25">
      <c r="A38" s="55"/>
      <c r="B38" s="56" t="s">
        <v>118</v>
      </c>
      <c r="C38" s="62" t="s">
        <v>119</v>
      </c>
      <c r="D38" s="63" t="s">
        <v>120</v>
      </c>
      <c r="E38" s="63" t="s">
        <v>121</v>
      </c>
      <c r="F38" s="55"/>
    </row>
    <row r="39" spans="1:6" x14ac:dyDescent="0.25">
      <c r="A39" s="55"/>
      <c r="B39" s="56" t="s">
        <v>122</v>
      </c>
      <c r="C39" s="62" t="s">
        <v>123</v>
      </c>
      <c r="D39" s="63" t="s">
        <v>124</v>
      </c>
      <c r="E39" s="63" t="s">
        <v>125</v>
      </c>
      <c r="F39" s="55"/>
    </row>
    <row r="40" spans="1:6" x14ac:dyDescent="0.25">
      <c r="A40" s="55"/>
      <c r="B40" s="56" t="s">
        <v>126</v>
      </c>
      <c r="C40" s="62" t="s">
        <v>127</v>
      </c>
      <c r="D40" s="63" t="s">
        <v>128</v>
      </c>
      <c r="E40" s="63" t="s">
        <v>129</v>
      </c>
      <c r="F40" s="55"/>
    </row>
    <row r="41" spans="1:6" x14ac:dyDescent="0.25">
      <c r="A41" s="55"/>
      <c r="B41" s="56" t="s">
        <v>130</v>
      </c>
      <c r="C41" s="62" t="s">
        <v>131</v>
      </c>
      <c r="D41" s="63" t="s">
        <v>132</v>
      </c>
      <c r="E41" s="63" t="s">
        <v>133</v>
      </c>
      <c r="F41" s="55"/>
    </row>
    <row r="42" spans="1:6" x14ac:dyDescent="0.25">
      <c r="A42" s="55"/>
      <c r="B42" s="56" t="s">
        <v>134</v>
      </c>
      <c r="C42" s="62" t="s">
        <v>135</v>
      </c>
      <c r="D42" s="63" t="s">
        <v>136</v>
      </c>
      <c r="E42" s="63" t="s">
        <v>136</v>
      </c>
      <c r="F42" s="55"/>
    </row>
    <row r="43" spans="1:6" x14ac:dyDescent="0.25">
      <c r="A43" s="55"/>
      <c r="B43" s="56" t="s">
        <v>137</v>
      </c>
      <c r="C43" s="62" t="s">
        <v>138</v>
      </c>
      <c r="D43" s="63" t="s">
        <v>139</v>
      </c>
      <c r="E43" s="63" t="s">
        <v>139</v>
      </c>
      <c r="F43" s="55"/>
    </row>
    <row r="44" spans="1:6" x14ac:dyDescent="0.25">
      <c r="A44" s="55"/>
      <c r="B44" s="56" t="s">
        <v>140</v>
      </c>
      <c r="C44" s="62" t="s">
        <v>141</v>
      </c>
      <c r="D44" s="63" t="s">
        <v>142</v>
      </c>
      <c r="E44" s="63" t="s">
        <v>141</v>
      </c>
      <c r="F44" s="55"/>
    </row>
    <row r="45" spans="1:6" x14ac:dyDescent="0.25">
      <c r="A45" s="55"/>
      <c r="B45" s="56" t="s">
        <v>143</v>
      </c>
      <c r="C45" s="62" t="s">
        <v>144</v>
      </c>
      <c r="D45" s="63" t="s">
        <v>145</v>
      </c>
      <c r="E45" s="63" t="s">
        <v>144</v>
      </c>
      <c r="F45" s="55"/>
    </row>
    <row r="46" spans="1:6" x14ac:dyDescent="0.25">
      <c r="A46" s="55"/>
      <c r="B46" s="56" t="s">
        <v>146</v>
      </c>
      <c r="C46" s="62" t="s">
        <v>147</v>
      </c>
      <c r="D46" s="63" t="s">
        <v>148</v>
      </c>
      <c r="E46" s="63" t="s">
        <v>149</v>
      </c>
      <c r="F46" s="55"/>
    </row>
    <row r="47" spans="1:6" x14ac:dyDescent="0.25">
      <c r="A47" s="55"/>
      <c r="B47" s="56" t="s">
        <v>150</v>
      </c>
      <c r="C47" s="62" t="s">
        <v>151</v>
      </c>
      <c r="D47" s="63" t="s">
        <v>151</v>
      </c>
      <c r="E47" s="63" t="s">
        <v>151</v>
      </c>
      <c r="F47" s="55"/>
    </row>
    <row r="48" spans="1:6" x14ac:dyDescent="0.25">
      <c r="A48" s="55"/>
      <c r="B48" s="56" t="s">
        <v>152</v>
      </c>
      <c r="C48" s="62" t="s">
        <v>153</v>
      </c>
      <c r="D48" s="63" t="s">
        <v>154</v>
      </c>
      <c r="E48" s="63" t="s">
        <v>155</v>
      </c>
      <c r="F48" s="55"/>
    </row>
    <row r="49" spans="1:6" x14ac:dyDescent="0.25">
      <c r="A49" s="55"/>
      <c r="B49" s="56" t="s">
        <v>156</v>
      </c>
      <c r="C49" s="62" t="s">
        <v>157</v>
      </c>
      <c r="D49" s="63" t="s">
        <v>158</v>
      </c>
      <c r="E49" s="63" t="s">
        <v>158</v>
      </c>
      <c r="F49" s="55"/>
    </row>
    <row r="50" spans="1:6" x14ac:dyDescent="0.25">
      <c r="A50" s="55"/>
      <c r="B50" s="55"/>
      <c r="C50" s="61"/>
      <c r="D50" s="61"/>
      <c r="E50" s="61"/>
      <c r="F50" s="55"/>
    </row>
    <row r="51" spans="1:6" ht="25" x14ac:dyDescent="0.25">
      <c r="A51" s="57"/>
      <c r="B51" s="56" t="s">
        <v>159</v>
      </c>
      <c r="C51" s="60" t="s">
        <v>160</v>
      </c>
      <c r="D51" s="60" t="s">
        <v>161</v>
      </c>
      <c r="E51" s="60" t="s">
        <v>162</v>
      </c>
      <c r="F51" s="61"/>
    </row>
    <row r="52" spans="1:6" ht="25" x14ac:dyDescent="0.25">
      <c r="A52" s="55"/>
      <c r="B52" s="56" t="s">
        <v>163</v>
      </c>
      <c r="C52" s="60" t="s">
        <v>164</v>
      </c>
      <c r="D52" s="60" t="s">
        <v>165</v>
      </c>
      <c r="E52" s="60" t="s">
        <v>166</v>
      </c>
      <c r="F52" s="61"/>
    </row>
    <row r="53" spans="1:6" ht="37.5" x14ac:dyDescent="0.25">
      <c r="A53" s="55"/>
      <c r="B53" s="56" t="s">
        <v>167</v>
      </c>
      <c r="C53" s="60" t="s">
        <v>168</v>
      </c>
      <c r="D53" s="60" t="s">
        <v>169</v>
      </c>
      <c r="E53" s="60" t="s">
        <v>170</v>
      </c>
      <c r="F53" s="61"/>
    </row>
    <row r="54" spans="1:6" ht="37.5" x14ac:dyDescent="0.25">
      <c r="A54" s="55"/>
      <c r="B54" s="56" t="s">
        <v>171</v>
      </c>
      <c r="C54" s="60" t="s">
        <v>172</v>
      </c>
      <c r="D54" s="60" t="s">
        <v>173</v>
      </c>
      <c r="E54" s="60" t="s">
        <v>174</v>
      </c>
      <c r="F54" s="61"/>
    </row>
    <row r="55" spans="1:6" x14ac:dyDescent="0.25">
      <c r="A55" s="55"/>
      <c r="B55" s="56" t="s">
        <v>175</v>
      </c>
      <c r="F55" s="61"/>
    </row>
    <row r="56" spans="1:6" x14ac:dyDescent="0.25">
      <c r="A56" s="55" t="s">
        <v>18</v>
      </c>
      <c r="B56" s="56" t="s">
        <v>176</v>
      </c>
      <c r="C56" s="60" t="s">
        <v>177</v>
      </c>
      <c r="D56" s="60" t="s">
        <v>178</v>
      </c>
      <c r="E56" s="60" t="s">
        <v>179</v>
      </c>
      <c r="F56" s="55"/>
    </row>
    <row r="57" spans="1:6" x14ac:dyDescent="0.25">
      <c r="A57" s="55" t="s">
        <v>12</v>
      </c>
      <c r="B57" s="64" t="s">
        <v>180</v>
      </c>
      <c r="C57" s="65" t="s">
        <v>328</v>
      </c>
      <c r="D57" s="65" t="s">
        <v>329</v>
      </c>
      <c r="E57" s="65" t="s">
        <v>330</v>
      </c>
      <c r="F57" s="55"/>
    </row>
    <row r="58" spans="1:6" x14ac:dyDescent="0.25">
      <c r="A58" s="55"/>
      <c r="B58" s="55"/>
      <c r="C58" s="61"/>
      <c r="D58" s="61"/>
      <c r="E58" s="61"/>
      <c r="F58" s="55"/>
    </row>
    <row r="59" spans="1:6" x14ac:dyDescent="0.25">
      <c r="A59" s="55" t="s">
        <v>213</v>
      </c>
      <c r="B59" s="56" t="s">
        <v>323</v>
      </c>
      <c r="C59" s="60" t="s">
        <v>324</v>
      </c>
      <c r="D59" s="60" t="s">
        <v>325</v>
      </c>
      <c r="E59" s="67" t="s">
        <v>326</v>
      </c>
      <c r="F59" s="55"/>
    </row>
    <row r="60" spans="1:6" x14ac:dyDescent="0.25">
      <c r="A60" s="55"/>
      <c r="B60" s="55"/>
      <c r="C60" s="61"/>
      <c r="D60" s="61"/>
      <c r="E60" s="61"/>
      <c r="F60" s="55"/>
    </row>
    <row r="61" spans="1:6" ht="13" x14ac:dyDescent="0.25">
      <c r="A61" s="57" t="s">
        <v>213</v>
      </c>
      <c r="B61" s="56" t="s">
        <v>214</v>
      </c>
      <c r="C61" s="60" t="s">
        <v>20</v>
      </c>
      <c r="D61" s="60" t="s">
        <v>20</v>
      </c>
      <c r="E61" s="60" t="s">
        <v>21</v>
      </c>
      <c r="F61" s="55"/>
    </row>
    <row r="62" spans="1:6" x14ac:dyDescent="0.25">
      <c r="A62" s="55"/>
      <c r="B62" s="56" t="s">
        <v>215</v>
      </c>
      <c r="C62" s="60" t="s">
        <v>182</v>
      </c>
      <c r="D62" s="60" t="s">
        <v>216</v>
      </c>
      <c r="E62" s="60" t="s">
        <v>217</v>
      </c>
      <c r="F62" s="55"/>
    </row>
    <row r="63" spans="1:6" x14ac:dyDescent="0.25">
      <c r="A63" s="55"/>
      <c r="B63" s="56" t="s">
        <v>218</v>
      </c>
      <c r="C63" s="60" t="s">
        <v>185</v>
      </c>
      <c r="D63" s="66" t="s">
        <v>219</v>
      </c>
      <c r="E63" s="60" t="s">
        <v>220</v>
      </c>
      <c r="F63" s="55"/>
    </row>
    <row r="64" spans="1:6" x14ac:dyDescent="0.25">
      <c r="A64" s="55"/>
      <c r="B64" s="56" t="s">
        <v>221</v>
      </c>
      <c r="C64" s="60" t="s">
        <v>190</v>
      </c>
      <c r="D64" s="60" t="s">
        <v>222</v>
      </c>
      <c r="E64" s="60" t="s">
        <v>223</v>
      </c>
      <c r="F64" s="55"/>
    </row>
    <row r="65" spans="1:6" x14ac:dyDescent="0.25">
      <c r="A65" s="55"/>
      <c r="B65" s="56" t="s">
        <v>224</v>
      </c>
      <c r="C65" s="60" t="s">
        <v>193</v>
      </c>
      <c r="D65" s="60" t="s">
        <v>225</v>
      </c>
      <c r="E65" s="60" t="s">
        <v>226</v>
      </c>
      <c r="F65" s="55"/>
    </row>
    <row r="66" spans="1:6" x14ac:dyDescent="0.25">
      <c r="A66" s="55"/>
      <c r="B66" s="56" t="s">
        <v>227</v>
      </c>
      <c r="C66" s="60" t="s">
        <v>199</v>
      </c>
      <c r="D66" s="60" t="s">
        <v>228</v>
      </c>
      <c r="E66" s="60" t="s">
        <v>229</v>
      </c>
      <c r="F66" s="55"/>
    </row>
    <row r="67" spans="1:6" x14ac:dyDescent="0.25">
      <c r="A67" s="55"/>
      <c r="B67" s="56" t="s">
        <v>230</v>
      </c>
      <c r="C67" s="60" t="s">
        <v>209</v>
      </c>
      <c r="D67" s="60" t="s">
        <v>231</v>
      </c>
      <c r="E67" s="60" t="s">
        <v>232</v>
      </c>
      <c r="F67" s="55"/>
    </row>
    <row r="68" spans="1:6" x14ac:dyDescent="0.25">
      <c r="A68" s="55"/>
      <c r="B68" s="56" t="s">
        <v>233</v>
      </c>
      <c r="C68" s="60" t="s">
        <v>183</v>
      </c>
      <c r="D68" s="60" t="s">
        <v>234</v>
      </c>
      <c r="E68" s="60" t="s">
        <v>235</v>
      </c>
      <c r="F68" s="55"/>
    </row>
    <row r="69" spans="1:6" x14ac:dyDescent="0.25">
      <c r="A69" s="55"/>
      <c r="B69" s="56" t="s">
        <v>236</v>
      </c>
      <c r="C69" s="60" t="s">
        <v>184</v>
      </c>
      <c r="D69" s="60" t="s">
        <v>237</v>
      </c>
      <c r="E69" s="60" t="s">
        <v>238</v>
      </c>
      <c r="F69" s="55"/>
    </row>
    <row r="70" spans="1:6" x14ac:dyDescent="0.25">
      <c r="A70" s="55"/>
      <c r="B70" s="56" t="s">
        <v>239</v>
      </c>
      <c r="C70" s="62" t="s">
        <v>186</v>
      </c>
      <c r="D70" s="60" t="s">
        <v>186</v>
      </c>
      <c r="E70" s="60" t="s">
        <v>186</v>
      </c>
      <c r="F70" s="55"/>
    </row>
    <row r="71" spans="1:6" x14ac:dyDescent="0.25">
      <c r="A71" s="55"/>
      <c r="B71" s="56" t="s">
        <v>240</v>
      </c>
      <c r="C71" s="60" t="s">
        <v>187</v>
      </c>
      <c r="D71" s="60" t="s">
        <v>187</v>
      </c>
      <c r="E71" s="60" t="s">
        <v>187</v>
      </c>
      <c r="F71" s="55"/>
    </row>
    <row r="72" spans="1:6" x14ac:dyDescent="0.25">
      <c r="A72" s="55"/>
      <c r="B72" s="56" t="s">
        <v>241</v>
      </c>
      <c r="C72" s="60" t="s">
        <v>188</v>
      </c>
      <c r="D72" s="60" t="s">
        <v>188</v>
      </c>
      <c r="E72" s="60" t="s">
        <v>188</v>
      </c>
      <c r="F72" s="55"/>
    </row>
    <row r="73" spans="1:6" x14ac:dyDescent="0.25">
      <c r="A73" s="55"/>
      <c r="B73" s="56" t="s">
        <v>242</v>
      </c>
      <c r="C73" s="60" t="s">
        <v>189</v>
      </c>
      <c r="D73" s="60" t="s">
        <v>243</v>
      </c>
      <c r="E73" s="60" t="s">
        <v>244</v>
      </c>
      <c r="F73" s="55"/>
    </row>
    <row r="74" spans="1:6" x14ac:dyDescent="0.25">
      <c r="A74" s="55"/>
      <c r="B74" s="56" t="s">
        <v>245</v>
      </c>
      <c r="C74" s="62" t="s">
        <v>191</v>
      </c>
      <c r="D74" s="60" t="s">
        <v>246</v>
      </c>
      <c r="E74" s="60" t="s">
        <v>247</v>
      </c>
      <c r="F74" s="55"/>
    </row>
    <row r="75" spans="1:6" x14ac:dyDescent="0.25">
      <c r="A75" s="55"/>
      <c r="B75" s="56" t="s">
        <v>248</v>
      </c>
      <c r="C75" s="62" t="s">
        <v>249</v>
      </c>
      <c r="D75" s="60" t="s">
        <v>250</v>
      </c>
      <c r="E75" s="60" t="s">
        <v>251</v>
      </c>
      <c r="F75" s="55"/>
    </row>
    <row r="76" spans="1:6" x14ac:dyDescent="0.25">
      <c r="A76" s="55"/>
      <c r="B76" s="56" t="s">
        <v>252</v>
      </c>
      <c r="C76" s="62" t="s">
        <v>253</v>
      </c>
      <c r="D76" s="60" t="s">
        <v>254</v>
      </c>
      <c r="E76" s="60" t="s">
        <v>255</v>
      </c>
      <c r="F76" s="55"/>
    </row>
    <row r="77" spans="1:6" x14ac:dyDescent="0.25">
      <c r="A77" s="55"/>
      <c r="B77" s="56" t="s">
        <v>256</v>
      </c>
      <c r="C77" s="62" t="s">
        <v>257</v>
      </c>
      <c r="D77" s="60" t="s">
        <v>258</v>
      </c>
      <c r="E77" s="60" t="s">
        <v>259</v>
      </c>
      <c r="F77" s="55"/>
    </row>
    <row r="78" spans="1:6" x14ac:dyDescent="0.25">
      <c r="A78" s="55"/>
      <c r="B78" s="56" t="s">
        <v>260</v>
      </c>
      <c r="C78" s="62" t="s">
        <v>192</v>
      </c>
      <c r="D78" s="60" t="s">
        <v>261</v>
      </c>
      <c r="E78" s="60" t="s">
        <v>262</v>
      </c>
      <c r="F78" s="55"/>
    </row>
    <row r="79" spans="1:6" x14ac:dyDescent="0.25">
      <c r="A79" s="55"/>
      <c r="B79" s="56" t="s">
        <v>263</v>
      </c>
      <c r="C79" s="62" t="s">
        <v>194</v>
      </c>
      <c r="D79" s="60" t="s">
        <v>264</v>
      </c>
      <c r="E79" s="60" t="s">
        <v>265</v>
      </c>
      <c r="F79" s="55"/>
    </row>
    <row r="80" spans="1:6" x14ac:dyDescent="0.25">
      <c r="A80" s="55"/>
      <c r="B80" s="56" t="s">
        <v>266</v>
      </c>
      <c r="C80" s="62" t="s">
        <v>195</v>
      </c>
      <c r="D80" s="60" t="s">
        <v>267</v>
      </c>
      <c r="E80" s="60" t="s">
        <v>268</v>
      </c>
      <c r="F80" s="55"/>
    </row>
    <row r="81" spans="1:6" x14ac:dyDescent="0.25">
      <c r="A81" s="55"/>
      <c r="B81" s="56" t="s">
        <v>269</v>
      </c>
      <c r="C81" s="62" t="s">
        <v>196</v>
      </c>
      <c r="D81" s="60" t="s">
        <v>270</v>
      </c>
      <c r="E81" s="60" t="s">
        <v>271</v>
      </c>
      <c r="F81" s="55"/>
    </row>
    <row r="82" spans="1:6" x14ac:dyDescent="0.25">
      <c r="A82" s="55"/>
      <c r="B82" s="56" t="s">
        <v>272</v>
      </c>
      <c r="C82" s="62" t="s">
        <v>197</v>
      </c>
      <c r="D82" s="60" t="s">
        <v>273</v>
      </c>
      <c r="E82" s="60" t="s">
        <v>274</v>
      </c>
      <c r="F82" s="55"/>
    </row>
    <row r="83" spans="1:6" x14ac:dyDescent="0.25">
      <c r="A83" s="55"/>
      <c r="B83" s="56" t="s">
        <v>275</v>
      </c>
      <c r="C83" s="62" t="s">
        <v>198</v>
      </c>
      <c r="D83" s="60" t="s">
        <v>276</v>
      </c>
      <c r="E83" s="60" t="s">
        <v>277</v>
      </c>
      <c r="F83" s="55"/>
    </row>
    <row r="84" spans="1:6" x14ac:dyDescent="0.25">
      <c r="A84" s="55"/>
      <c r="B84" s="56" t="s">
        <v>278</v>
      </c>
      <c r="C84" s="62" t="s">
        <v>200</v>
      </c>
      <c r="D84" s="60" t="s">
        <v>279</v>
      </c>
      <c r="E84" s="60" t="s">
        <v>280</v>
      </c>
      <c r="F84" s="55"/>
    </row>
    <row r="85" spans="1:6" x14ac:dyDescent="0.25">
      <c r="A85" s="55"/>
      <c r="B85" s="56" t="s">
        <v>281</v>
      </c>
      <c r="C85" s="62" t="s">
        <v>201</v>
      </c>
      <c r="D85" s="60" t="s">
        <v>282</v>
      </c>
      <c r="E85" s="60" t="s">
        <v>283</v>
      </c>
      <c r="F85" s="55"/>
    </row>
    <row r="86" spans="1:6" x14ac:dyDescent="0.25">
      <c r="A86" s="55"/>
      <c r="B86" s="56" t="s">
        <v>284</v>
      </c>
      <c r="C86" s="62" t="s">
        <v>202</v>
      </c>
      <c r="D86" s="60" t="s">
        <v>285</v>
      </c>
      <c r="E86" s="60" t="s">
        <v>286</v>
      </c>
      <c r="F86" s="55"/>
    </row>
    <row r="87" spans="1:6" x14ac:dyDescent="0.25">
      <c r="A87" s="55"/>
      <c r="B87" s="56" t="s">
        <v>287</v>
      </c>
      <c r="C87" s="62" t="s">
        <v>203</v>
      </c>
      <c r="D87" s="60" t="s">
        <v>288</v>
      </c>
      <c r="E87" s="60" t="s">
        <v>289</v>
      </c>
      <c r="F87" s="55"/>
    </row>
    <row r="88" spans="1:6" x14ac:dyDescent="0.25">
      <c r="A88" s="55"/>
      <c r="B88" s="56" t="s">
        <v>290</v>
      </c>
      <c r="C88" s="62" t="s">
        <v>204</v>
      </c>
      <c r="D88" s="60" t="s">
        <v>291</v>
      </c>
      <c r="E88" s="60" t="s">
        <v>292</v>
      </c>
      <c r="F88" s="55"/>
    </row>
    <row r="89" spans="1:6" x14ac:dyDescent="0.25">
      <c r="A89" s="55"/>
      <c r="B89" s="56" t="s">
        <v>293</v>
      </c>
      <c r="C89" s="62" t="s">
        <v>205</v>
      </c>
      <c r="D89" s="60" t="s">
        <v>294</v>
      </c>
      <c r="E89" s="60" t="s">
        <v>295</v>
      </c>
      <c r="F89" s="55"/>
    </row>
    <row r="90" spans="1:6" x14ac:dyDescent="0.25">
      <c r="A90" s="55"/>
      <c r="B90" s="56" t="s">
        <v>296</v>
      </c>
      <c r="C90" s="62" t="s">
        <v>206</v>
      </c>
      <c r="D90" s="60" t="s">
        <v>297</v>
      </c>
      <c r="E90" s="60" t="s">
        <v>298</v>
      </c>
      <c r="F90" s="55"/>
    </row>
    <row r="91" spans="1:6" x14ac:dyDescent="0.25">
      <c r="A91" s="55"/>
      <c r="B91" s="56" t="s">
        <v>299</v>
      </c>
      <c r="C91" s="62" t="s">
        <v>300</v>
      </c>
      <c r="D91" s="60" t="s">
        <v>301</v>
      </c>
      <c r="E91" s="60" t="s">
        <v>302</v>
      </c>
      <c r="F91" s="55"/>
    </row>
    <row r="92" spans="1:6" ht="25" x14ac:dyDescent="0.25">
      <c r="A92" s="55"/>
      <c r="B92" s="56" t="s">
        <v>303</v>
      </c>
      <c r="C92" s="62" t="s">
        <v>207</v>
      </c>
      <c r="D92" s="60" t="s">
        <v>304</v>
      </c>
      <c r="E92" s="60" t="s">
        <v>305</v>
      </c>
      <c r="F92" s="55"/>
    </row>
    <row r="93" spans="1:6" ht="37.5" x14ac:dyDescent="0.25">
      <c r="A93" s="55"/>
      <c r="B93" s="56" t="s">
        <v>306</v>
      </c>
      <c r="C93" s="62" t="s">
        <v>307</v>
      </c>
      <c r="D93" s="60" t="s">
        <v>308</v>
      </c>
      <c r="E93" s="60" t="s">
        <v>309</v>
      </c>
      <c r="F93" s="55"/>
    </row>
    <row r="94" spans="1:6" ht="25" x14ac:dyDescent="0.25">
      <c r="A94" s="55"/>
      <c r="B94" s="56" t="s">
        <v>310</v>
      </c>
      <c r="C94" s="62" t="s">
        <v>208</v>
      </c>
      <c r="D94" s="60" t="s">
        <v>311</v>
      </c>
      <c r="E94" s="60" t="s">
        <v>312</v>
      </c>
      <c r="F94" s="55"/>
    </row>
    <row r="95" spans="1:6" x14ac:dyDescent="0.25">
      <c r="A95" s="55"/>
      <c r="B95" s="56" t="s">
        <v>313</v>
      </c>
      <c r="C95" s="62" t="s">
        <v>314</v>
      </c>
      <c r="D95" s="60" t="s">
        <v>315</v>
      </c>
      <c r="E95" s="60" t="s">
        <v>316</v>
      </c>
      <c r="F95" s="55"/>
    </row>
    <row r="96" spans="1:6" x14ac:dyDescent="0.25">
      <c r="A96" s="55"/>
      <c r="B96" s="56" t="s">
        <v>317</v>
      </c>
      <c r="C96" s="62" t="s">
        <v>210</v>
      </c>
      <c r="D96" s="60" t="s">
        <v>318</v>
      </c>
      <c r="E96" s="60" t="s">
        <v>319</v>
      </c>
      <c r="F96" s="55"/>
    </row>
    <row r="97" spans="1:6" x14ac:dyDescent="0.25">
      <c r="A97" s="55"/>
      <c r="B97" s="56" t="s">
        <v>320</v>
      </c>
      <c r="C97" s="62" t="s">
        <v>211</v>
      </c>
      <c r="D97" s="60" t="s">
        <v>321</v>
      </c>
      <c r="E97" s="60" t="s">
        <v>322</v>
      </c>
      <c r="F97" s="55"/>
    </row>
    <row r="98" spans="1:6" x14ac:dyDescent="0.25">
      <c r="A98" s="55"/>
      <c r="C98" s="62"/>
      <c r="F98" s="55"/>
    </row>
    <row r="99" spans="1:6" x14ac:dyDescent="0.25">
      <c r="A99" s="55"/>
      <c r="C99" s="56"/>
      <c r="F99" s="55"/>
    </row>
    <row r="100" spans="1:6" x14ac:dyDescent="0.25">
      <c r="A100" s="55"/>
      <c r="B100" s="55"/>
      <c r="C100" s="61"/>
      <c r="D100" s="61"/>
      <c r="E100" s="55"/>
      <c r="F100" s="55"/>
    </row>
    <row r="101" spans="1:6" x14ac:dyDescent="0.25">
      <c r="A101" s="55" t="s">
        <v>213</v>
      </c>
      <c r="B101" s="64" t="s">
        <v>327</v>
      </c>
      <c r="C101" s="65" t="s">
        <v>328</v>
      </c>
      <c r="D101" s="65" t="s">
        <v>329</v>
      </c>
      <c r="E101" s="65" t="s">
        <v>330</v>
      </c>
      <c r="F101" s="55"/>
    </row>
    <row r="102" spans="1:6" x14ac:dyDescent="0.25">
      <c r="A102" s="55"/>
      <c r="B102" s="55"/>
      <c r="C102" s="61"/>
      <c r="D102" s="61"/>
      <c r="E102" s="55"/>
      <c r="F102" s="55"/>
    </row>
    <row r="103" spans="1:6" x14ac:dyDescent="0.25">
      <c r="C103" s="56"/>
      <c r="D103" s="56"/>
      <c r="E103" s="5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26AD4D433F842B31B8F2E11C3D7DD" ma:contentTypeVersion="6" ma:contentTypeDescription="Ein neues Dokument erstellen." ma:contentTypeScope="" ma:versionID="fc86b419a5312ef30388d69da23aeff4">
  <xsd:schema xmlns:xsd="http://www.w3.org/2001/XMLSchema" xmlns:xs="http://www.w3.org/2001/XMLSchema" xmlns:p="http://schemas.microsoft.com/office/2006/metadata/properties" xmlns:ns1="http://schemas.microsoft.com/sharepoint/v3" xmlns:ns2="e8a48d95-b6dc-46ea-8dee-11ddfc24d8d8" targetNamespace="http://schemas.microsoft.com/office/2006/metadata/properties" ma:root="true" ma:fieldsID="c8472c40e3417b7de721acd23c96858c" ns1:_="" ns2:_="">
    <xsd:import namespace="http://schemas.microsoft.com/sharepoint/v3"/>
    <xsd:import namespace="e8a48d95-b6dc-46ea-8dee-11ddfc24d8d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8d95-b6dc-46ea-8dee-11ddfc24d8d8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e8a48d95-b6dc-46ea-8dee-11ddfc24d8d8">Erwerbstätigkeit</Kategorie>
    <Benutzerdefinierte_x0020_ID xmlns="e8a48d95-b6dc-46ea-8dee-11ddfc24d8d8">1002</Benutzerdefinierte_x0020_ID>
    <Titel_IT xmlns="e8a48d95-b6dc-46ea-8dee-11ddfc24d8d8">Condizione lavorativa nei Grigioni e in Svizzera, 2022</Titel_IT>
    <Titel_RM xmlns="e8a48d95-b6dc-46ea-8dee-11ddfc24d8d8">Status dal martgà da lavur grischun e svizzer, 2022</Titel_RM>
    <Titel_DE xmlns="e8a48d95-b6dc-46ea-8dee-11ddfc24d8d8">Arbeitsmarktstatus Graubünden und Schweiz, 2022</Titel_D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B48D13-4F39-43D6-B642-ED9460098BC3}"/>
</file>

<file path=customXml/itemProps2.xml><?xml version="1.0" encoding="utf-8"?>
<ds:datastoreItem xmlns:ds="http://schemas.openxmlformats.org/officeDocument/2006/customXml" ds:itemID="{46548220-BC7F-49C3-8CED-15C2DC88D8CB}"/>
</file>

<file path=customXml/itemProps3.xml><?xml version="1.0" encoding="utf-8"?>
<ds:datastoreItem xmlns:ds="http://schemas.openxmlformats.org/officeDocument/2006/customXml" ds:itemID="{7F6C9194-19D6-43E0-A30D-026ACCED72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Schweiz</vt:lpstr>
      <vt:lpstr>Graubünden</vt:lpstr>
      <vt:lpstr>Uebersetzungen</vt:lpstr>
    </vt:vector>
  </TitlesOfParts>
  <Manager/>
  <Company>Kantonale Verwaltung Graubünden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Arbeitsmarktstatus Graubünden und Schweiz</dc:title>
  <dc:subject/>
  <dc:creator>Luzius.Stricker@awt.gr.ch</dc:creator>
  <cp:keywords/>
  <dc:description/>
  <cp:lastModifiedBy>Stricker Luzius</cp:lastModifiedBy>
  <cp:revision/>
  <dcterms:created xsi:type="dcterms:W3CDTF">2017-05-04T09:10:20Z</dcterms:created>
  <dcterms:modified xsi:type="dcterms:W3CDTF">2024-02-20T16:41:54Z</dcterms:modified>
  <cp:category>Strukturerhebung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0x01010028D26AD4D433F842B31B8F2E11C3D7DD</vt:lpwstr>
  </property>
</Properties>
</file>